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prideliving.sharepoint.com/sites/marketing/Shared Documents/Content Marketing/Articles and Podcasts/Pride Insights/2025/Accommodation Outcome GS - 31 Oct/"/>
    </mc:Choice>
  </mc:AlternateContent>
  <xr:revisionPtr revIDLastSave="0" documentId="8_{CF973B77-3AA9-4FA5-8D90-788960E60344}" xr6:coauthVersionLast="47" xr6:coauthVersionMax="47" xr10:uidLastSave="{00000000-0000-0000-0000-000000000000}"/>
  <bookViews>
    <workbookView xWindow="-120" yWindow="-120" windowWidth="29040" windowHeight="15720" activeTab="2" xr2:uid="{00000000-000D-0000-FFFF-FFFF00000000}"/>
  </bookViews>
  <sheets>
    <sheet name="Ret. Inc. Buildup Model" sheetId="7" r:id="rId1"/>
    <sheet name="Ret. Inc. Buildup Model Average" sheetId="1" r:id="rId2"/>
    <sheet name="Setting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B13" i="1"/>
  <c r="B17" i="1"/>
  <c r="C17" i="1" s="1"/>
  <c r="G13" i="1"/>
  <c r="F13" i="1"/>
  <c r="E13" i="1"/>
  <c r="D13" i="1"/>
  <c r="C13" i="1"/>
  <c r="G11" i="1"/>
  <c r="F11" i="1"/>
  <c r="F12" i="1" s="1"/>
  <c r="E11" i="1"/>
  <c r="D11" i="1"/>
  <c r="C11" i="1"/>
  <c r="B6" i="1"/>
  <c r="G11" i="7"/>
  <c r="F11" i="7"/>
  <c r="E11" i="7"/>
  <c r="D11" i="7"/>
  <c r="C11" i="7"/>
  <c r="B11" i="7"/>
  <c r="B12" i="7" s="1"/>
  <c r="B6" i="7"/>
  <c r="C14" i="1" l="1"/>
  <c r="C19" i="1" s="1"/>
  <c r="B12" i="1"/>
  <c r="G12" i="1"/>
  <c r="C12" i="1"/>
  <c r="B14" i="1"/>
  <c r="E12" i="1"/>
  <c r="D12" i="1"/>
  <c r="D17" i="1"/>
  <c r="D14" i="1" s="1"/>
  <c r="C14" i="7"/>
  <c r="C12" i="7"/>
  <c r="B14" i="7"/>
  <c r="B15" i="1" l="1"/>
  <c r="C15" i="1"/>
  <c r="D15" i="1"/>
  <c r="D19" i="1"/>
  <c r="B19" i="1"/>
  <c r="B16" i="1"/>
  <c r="C16" i="1" s="1"/>
  <c r="E17" i="1"/>
  <c r="E14" i="1" s="1"/>
  <c r="B15" i="7"/>
  <c r="B16" i="7"/>
  <c r="C15" i="7"/>
  <c r="C16" i="7"/>
  <c r="D12" i="7"/>
  <c r="B21" i="1" l="1"/>
  <c r="B20" i="1"/>
  <c r="D16" i="1"/>
  <c r="E15" i="1"/>
  <c r="E19" i="1"/>
  <c r="F17" i="1"/>
  <c r="E12" i="7"/>
  <c r="D14" i="7"/>
  <c r="B22" i="1" l="1"/>
  <c r="B23" i="1"/>
  <c r="E16" i="1"/>
  <c r="C20" i="1"/>
  <c r="C21" i="1"/>
  <c r="C23" i="1" s="1"/>
  <c r="F12" i="7"/>
  <c r="G12" i="7" s="1"/>
  <c r="E14" i="7"/>
  <c r="E16" i="7" s="1"/>
  <c r="G17" i="1"/>
  <c r="G14" i="1" s="1"/>
  <c r="G19" i="1" s="1"/>
  <c r="F14" i="1"/>
  <c r="D15" i="7"/>
  <c r="D16" i="7"/>
  <c r="F14" i="7" l="1"/>
  <c r="F15" i="7" s="1"/>
  <c r="E15" i="7"/>
  <c r="F16" i="1"/>
  <c r="G16" i="1" s="1"/>
  <c r="C22" i="1"/>
  <c r="G14" i="7"/>
  <c r="G16" i="7" s="1"/>
  <c r="F15" i="1"/>
  <c r="F19" i="1"/>
  <c r="G15" i="1"/>
  <c r="D20" i="1"/>
  <c r="G15" i="7" l="1"/>
  <c r="F16" i="7"/>
  <c r="D21" i="1"/>
  <c r="D23" i="1" l="1"/>
  <c r="D22" i="1"/>
  <c r="E20" i="1"/>
  <c r="E21" i="1" l="1"/>
  <c r="E22" i="1" s="1"/>
  <c r="F20" i="1"/>
  <c r="G20" i="1" s="1"/>
  <c r="G21" i="1" s="1"/>
  <c r="F21" i="1" l="1"/>
  <c r="F23" i="1" s="1"/>
  <c r="G23" i="1"/>
  <c r="G22" i="1"/>
  <c r="E23" i="1"/>
  <c r="F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Angie Oe</author>
    <author>Bruce Bailey</author>
  </authors>
  <commentList>
    <comment ref="B4" authorId="0" shapeId="0" xr:uid="{1B9E3867-1145-43C6-ACD7-D3C1DC780AAE}">
      <text>
        <r>
          <rPr>
            <b/>
            <sz val="9"/>
            <color indexed="81"/>
            <rFont val="Tahoma"/>
            <family val="2"/>
          </rPr>
          <t>Bruce Bailey:</t>
        </r>
        <r>
          <rPr>
            <sz val="9"/>
            <color indexed="81"/>
            <rFont val="Tahoma"/>
            <charset val="1"/>
          </rPr>
          <t xml:space="preserve">
Input the number of beds in the facility or portfolio of facilities.</t>
        </r>
      </text>
    </comment>
    <comment ref="B7" authorId="1" shapeId="0" xr:uid="{93D8D4D3-C871-43D4-812A-8657E24E4FC4}">
      <text>
        <r>
          <rPr>
            <b/>
            <sz val="9"/>
            <color indexed="81"/>
            <rFont val="Tahoma"/>
            <charset val="1"/>
          </rPr>
          <t>Bruce Bailey:</t>
        </r>
        <r>
          <rPr>
            <sz val="9"/>
            <color indexed="81"/>
            <rFont val="Tahoma"/>
            <charset val="1"/>
          </rPr>
          <t xml:space="preserve">
this is the average received RAD so needs to take account of part RAD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Barresi</author>
  </authors>
  <commentList>
    <comment ref="E10" authorId="0" shapeId="0" xr:uid="{05B87366-7037-4012-87B4-D716A838850C}">
      <text/>
    </comment>
  </commentList>
</comments>
</file>

<file path=xl/sharedStrings.xml><?xml version="1.0" encoding="utf-8"?>
<sst xmlns="http://schemas.openxmlformats.org/spreadsheetml/2006/main" count="44" uniqueCount="33">
  <si>
    <t>Index</t>
  </si>
  <si>
    <t>Model Base Drivers</t>
  </si>
  <si>
    <t>Status</t>
  </si>
  <si>
    <t>Updated</t>
  </si>
  <si>
    <t>National LOS Ave</t>
  </si>
  <si>
    <t>NatLOSAve</t>
  </si>
  <si>
    <t>ENTITY:</t>
  </si>
  <si>
    <t>BEDS:</t>
  </si>
  <si>
    <t>CURRENT RAD POOL:</t>
  </si>
  <si>
    <t>PAL Sample Facility</t>
  </si>
  <si>
    <t>FORECASTED RETENTION INCOME</t>
  </si>
  <si>
    <t>Retention Rate</t>
  </si>
  <si>
    <t>Ret.Rate</t>
  </si>
  <si>
    <t>Cumulative new RAD</t>
  </si>
  <si>
    <t>Yearly RAD turnover</t>
  </si>
  <si>
    <t>Percentage of residents LOS&gt;60mths</t>
  </si>
  <si>
    <t>Retention percentage of replacement</t>
  </si>
  <si>
    <t>RAD out</t>
  </si>
  <si>
    <t>RAD in</t>
  </si>
  <si>
    <t>RAD Change</t>
  </si>
  <si>
    <t>Retention percentage of total RAD</t>
  </si>
  <si>
    <t>Forecast Retention Income</t>
  </si>
  <si>
    <t>2% Retention Income Buildup Model - Constant RAD</t>
  </si>
  <si>
    <t>2% Retention Income Buildup Model - Increasing Nominal RAD</t>
  </si>
  <si>
    <t>AVERAGE RAD:</t>
  </si>
  <si>
    <t>Average Existing RAD:</t>
  </si>
  <si>
    <t>Average New RAD:</t>
  </si>
  <si>
    <t>New RAD Indexation:</t>
  </si>
  <si>
    <t>Disclaimer: This is a model that estimates the impact. We provide no warrantee as to its appropriateness to any particular aged care provider or facility. Users need to form their own opinion as to its suitability to their situation.</t>
  </si>
  <si>
    <t>Retention income</t>
  </si>
  <si>
    <t>Input data in coloured cells</t>
  </si>
  <si>
    <t>New RAD pool</t>
  </si>
  <si>
    <t>Average new 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</si>
</sst>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0.0%"/>
    <numFmt numFmtId="165" formatCode="&quot;$&quot;#,##0_);[Red]\(&quot;$&quot;#,##0\);"/>
    <numFmt numFmtId="166" formatCode="_-* #,##0_-;\-* #,##0_-;_-* &quot;-&quot;??_-;_-@_-"/>
    <numFmt numFmtId="167" formatCode="&quot;$&quot;#,##0.00;[Red]&quot;$&quot;#,##0.00"/>
    <numFmt numFmtId="168" formatCode="_-&quot;$&quot;* #,##0_-;\-&quot;$&quot;* #,##0_-;_-&quot;$&quot;* &quot;-&quot;??_-;_-@_-"/>
    <numFmt numFmtId="169" formatCode="&quot;$&quot;#,##0.00"/>
    <numFmt numFmtId="170" formatCode="&quot;$&quot;#,##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sz val="7"/>
      <color theme="1"/>
      <name val="Roboto"/>
    </font>
    <font>
      <b/>
      <sz val="8"/>
      <color theme="1"/>
      <name val="Calibri"/>
      <family val="2"/>
      <scheme val="minor"/>
    </font>
    <font>
      <sz val="9"/>
      <color indexed="81"/>
      <name val="Tahoma"/>
      <charset val="1"/>
    </font>
    <font>
      <b/>
      <sz val="9"/>
      <color indexed="81"/>
      <name val="Tahoma"/>
      <charset val="1"/>
    </font>
    <font>
      <b/>
      <sz val="14"/>
      <color theme="1"/>
      <name val="Arial"/>
      <family val="2"/>
    </font>
    <font>
      <sz val="11"/>
      <color theme="1"/>
      <name val="Arial"/>
      <family val="2"/>
    </font>
    <font>
      <b/>
      <sz val="11"/>
      <color theme="1"/>
      <name val="Arial"/>
      <family val="2"/>
    </font>
    <font>
      <b/>
      <sz val="9"/>
      <color indexed="81"/>
      <name val="Tahoma"/>
      <family val="2"/>
    </font>
  </fonts>
  <fills count="7">
    <fill>
      <patternFill patternType="none"/>
    </fill>
    <fill>
      <patternFill patternType="gray125"/>
    </fill>
    <fill>
      <patternFill patternType="solid">
        <fgColor rgb="FFFFFF00"/>
        <bgColor indexed="64"/>
      </patternFill>
    </fill>
    <fill>
      <patternFill patternType="solid">
        <fgColor theme="2" tint="-0.24994659260841701"/>
        <bgColor indexed="64"/>
      </patternFill>
    </fill>
    <fill>
      <patternFill patternType="solid">
        <fgColor theme="2" tint="-9.9978637043366805E-2"/>
        <bgColor indexed="64"/>
      </patternFill>
    </fill>
    <fill>
      <patternFill patternType="solid">
        <fgColor theme="0"/>
        <bgColor indexed="64"/>
      </patternFill>
    </fill>
    <fill>
      <patternFill patternType="solid">
        <fgColor rgb="FF99D6D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55">
    <xf numFmtId="0" fontId="0" fillId="0" borderId="0" xfId="0"/>
    <xf numFmtId="0" fontId="0" fillId="0" borderId="0" xfId="0" applyAlignment="1">
      <alignment horizontal="center"/>
    </xf>
    <xf numFmtId="0" fontId="2" fillId="3" borderId="1" xfId="0" applyFont="1" applyFill="1" applyBorder="1"/>
    <xf numFmtId="0" fontId="2" fillId="3" borderId="2" xfId="0" applyFont="1" applyFill="1" applyBorder="1"/>
    <xf numFmtId="0" fontId="0" fillId="3" borderId="2" xfId="0" applyFill="1" applyBorder="1"/>
    <xf numFmtId="0" fontId="0" fillId="3" borderId="3" xfId="0" applyFill="1" applyBorder="1"/>
    <xf numFmtId="0" fontId="3" fillId="0" borderId="0" xfId="0" applyFont="1" applyAlignment="1">
      <alignment horizontal="center"/>
    </xf>
    <xf numFmtId="0" fontId="0" fillId="4" borderId="4" xfId="0" applyFill="1" applyBorder="1"/>
    <xf numFmtId="0" fontId="0" fillId="4" borderId="0" xfId="0" applyFill="1"/>
    <xf numFmtId="0" fontId="4" fillId="0" borderId="0" xfId="0" applyFont="1" applyAlignment="1">
      <alignment horizontal="center"/>
    </xf>
    <xf numFmtId="0" fontId="0" fillId="2" borderId="5" xfId="0" applyFill="1" applyBorder="1"/>
    <xf numFmtId="0" fontId="5" fillId="4" borderId="0" xfId="0" applyFont="1" applyFill="1" applyAlignment="1">
      <alignment horizontal="right"/>
    </xf>
    <xf numFmtId="164" fontId="0" fillId="2" borderId="5" xfId="1" applyNumberFormat="1" applyFont="1" applyFill="1" applyBorder="1"/>
    <xf numFmtId="0" fontId="0" fillId="4" borderId="6" xfId="0" applyFill="1" applyBorder="1"/>
    <xf numFmtId="0" fontId="0" fillId="4" borderId="7" xfId="0" applyFill="1" applyBorder="1"/>
    <xf numFmtId="0" fontId="0" fillId="2" borderId="8" xfId="0" applyFill="1" applyBorder="1"/>
    <xf numFmtId="9" fontId="0" fillId="2" borderId="5" xfId="0" applyNumberFormat="1" applyFill="1" applyBorder="1"/>
    <xf numFmtId="0" fontId="8" fillId="5" borderId="0" xfId="0" applyFont="1" applyFill="1"/>
    <xf numFmtId="0" fontId="9" fillId="5" borderId="0" xfId="0" applyFont="1" applyFill="1" applyProtection="1">
      <protection locked="0"/>
    </xf>
    <xf numFmtId="0" fontId="9" fillId="5" borderId="0" xfId="0" applyFont="1" applyFill="1"/>
    <xf numFmtId="43" fontId="9" fillId="5" borderId="0" xfId="0" applyNumberFormat="1" applyFont="1" applyFill="1" applyProtection="1">
      <protection locked="0"/>
    </xf>
    <xf numFmtId="168" fontId="9" fillId="5" borderId="0" xfId="0" applyNumberFormat="1" applyFont="1" applyFill="1" applyProtection="1">
      <protection locked="0"/>
    </xf>
    <xf numFmtId="165" fontId="9" fillId="5" borderId="0" xfId="2" applyNumberFormat="1" applyFont="1" applyFill="1" applyProtection="1"/>
    <xf numFmtId="44" fontId="9" fillId="5" borderId="0" xfId="0" applyNumberFormat="1" applyFont="1" applyFill="1" applyProtection="1">
      <protection locked="0"/>
    </xf>
    <xf numFmtId="166" fontId="9" fillId="5" borderId="0" xfId="0" applyNumberFormat="1" applyFont="1" applyFill="1" applyProtection="1">
      <protection locked="0"/>
    </xf>
    <xf numFmtId="10" fontId="9" fillId="5" borderId="0" xfId="1" applyNumberFormat="1" applyFont="1" applyFill="1" applyProtection="1">
      <protection locked="0"/>
    </xf>
    <xf numFmtId="14" fontId="10" fillId="5" borderId="0" xfId="3" applyNumberFormat="1" applyFont="1" applyFill="1" applyAlignment="1" applyProtection="1">
      <alignment horizontal="right"/>
    </xf>
    <xf numFmtId="43" fontId="9" fillId="5" borderId="0" xfId="2" applyFont="1" applyFill="1" applyProtection="1"/>
    <xf numFmtId="0" fontId="9" fillId="5" borderId="0" xfId="2" applyNumberFormat="1" applyFont="1" applyFill="1" applyAlignment="1" applyProtection="1">
      <alignment horizontal="left" vertical="top"/>
    </xf>
    <xf numFmtId="169" fontId="9" fillId="5" borderId="10" xfId="3" applyNumberFormat="1" applyFont="1" applyFill="1" applyBorder="1" applyProtection="1"/>
    <xf numFmtId="0" fontId="10" fillId="5" borderId="11" xfId="0" applyFont="1" applyFill="1" applyBorder="1"/>
    <xf numFmtId="165" fontId="10" fillId="5" borderId="12" xfId="0" applyNumberFormat="1" applyFont="1" applyFill="1" applyBorder="1"/>
    <xf numFmtId="165" fontId="10" fillId="5" borderId="13" xfId="0" applyNumberFormat="1" applyFont="1" applyFill="1" applyBorder="1"/>
    <xf numFmtId="0" fontId="10" fillId="5" borderId="0" xfId="0" applyFont="1" applyFill="1" applyProtection="1">
      <protection locked="0"/>
    </xf>
    <xf numFmtId="0" fontId="10" fillId="5" borderId="4" xfId="0" applyFont="1" applyFill="1" applyBorder="1"/>
    <xf numFmtId="10" fontId="10" fillId="5" borderId="0" xfId="1" applyNumberFormat="1" applyFont="1" applyFill="1" applyBorder="1" applyProtection="1"/>
    <xf numFmtId="10" fontId="10" fillId="5" borderId="5" xfId="1" applyNumberFormat="1" applyFont="1" applyFill="1" applyBorder="1" applyProtection="1"/>
    <xf numFmtId="0" fontId="10" fillId="5" borderId="6" xfId="0" applyFont="1" applyFill="1" applyBorder="1"/>
    <xf numFmtId="10" fontId="10" fillId="5" borderId="7" xfId="1" applyNumberFormat="1" applyFont="1" applyFill="1" applyBorder="1" applyProtection="1"/>
    <xf numFmtId="10" fontId="10" fillId="5" borderId="8" xfId="1" applyNumberFormat="1" applyFont="1" applyFill="1" applyBorder="1" applyProtection="1"/>
    <xf numFmtId="10" fontId="9" fillId="5" borderId="0" xfId="1" applyNumberFormat="1" applyFont="1" applyFill="1" applyProtection="1"/>
    <xf numFmtId="170" fontId="9" fillId="5" borderId="0" xfId="3" applyNumberFormat="1" applyFont="1" applyFill="1" applyProtection="1"/>
    <xf numFmtId="166" fontId="9" fillId="5" borderId="0" xfId="2" applyNumberFormat="1" applyFont="1" applyFill="1" applyProtection="1">
      <protection locked="0"/>
    </xf>
    <xf numFmtId="168" fontId="9" fillId="5" borderId="0" xfId="3" applyNumberFormat="1" applyFont="1" applyFill="1" applyAlignment="1" applyProtection="1">
      <alignment horizontal="right"/>
    </xf>
    <xf numFmtId="165" fontId="9" fillId="5" borderId="0" xfId="0" applyNumberFormat="1" applyFont="1" applyFill="1" applyProtection="1">
      <protection locked="0"/>
    </xf>
    <xf numFmtId="167" fontId="9" fillId="5" borderId="0" xfId="0" applyNumberFormat="1" applyFont="1" applyFill="1"/>
    <xf numFmtId="165" fontId="9" fillId="5" borderId="0" xfId="0" applyNumberFormat="1" applyFont="1" applyFill="1"/>
    <xf numFmtId="0" fontId="9" fillId="6" borderId="0" xfId="0" applyFont="1" applyFill="1" applyProtection="1">
      <protection locked="0"/>
    </xf>
    <xf numFmtId="165" fontId="9" fillId="6" borderId="0" xfId="2" applyNumberFormat="1" applyFont="1" applyFill="1" applyProtection="1">
      <protection locked="0"/>
    </xf>
    <xf numFmtId="10" fontId="9" fillId="6" borderId="0" xfId="1" applyNumberFormat="1" applyFont="1" applyFill="1" applyProtection="1">
      <protection locked="0"/>
    </xf>
    <xf numFmtId="170" fontId="9" fillId="6" borderId="0" xfId="3" applyNumberFormat="1" applyFont="1" applyFill="1" applyProtection="1">
      <protection locked="0"/>
    </xf>
    <xf numFmtId="0" fontId="9" fillId="6" borderId="0" xfId="0" applyFont="1" applyFill="1"/>
    <xf numFmtId="0" fontId="9" fillId="6" borderId="0" xfId="0" applyFont="1" applyFill="1" applyProtection="1">
      <protection locked="0"/>
    </xf>
    <xf numFmtId="0" fontId="9" fillId="5" borderId="0" xfId="0" applyFont="1" applyFill="1" applyAlignment="1">
      <alignment horizontal="left" wrapText="1"/>
    </xf>
    <xf numFmtId="165" fontId="10" fillId="5" borderId="9" xfId="3" applyNumberFormat="1" applyFont="1" applyFill="1" applyBorder="1" applyProtection="1"/>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colors>
    <mruColors>
      <color rgb="FF99D6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15240</xdr:colOff>
      <xdr:row>0</xdr:row>
      <xdr:rowOff>71570</xdr:rowOff>
    </xdr:from>
    <xdr:to>
      <xdr:col>6</xdr:col>
      <xdr:colOff>1198245</xdr:colOff>
      <xdr:row>4</xdr:row>
      <xdr:rowOff>20501</xdr:rowOff>
    </xdr:to>
    <xdr:pic>
      <xdr:nvPicPr>
        <xdr:cNvPr id="3" name="Picture 2">
          <a:extLst>
            <a:ext uri="{FF2B5EF4-FFF2-40B4-BE49-F238E27FC236}">
              <a16:creationId xmlns:a16="http://schemas.microsoft.com/office/drawing/2014/main" id="{494F9151-8FF0-FF2B-D87E-735A4D3AE7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63940" y="71570"/>
          <a:ext cx="1196340" cy="682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22860</xdr:colOff>
      <xdr:row>0</xdr:row>
      <xdr:rowOff>121920</xdr:rowOff>
    </xdr:from>
    <xdr:to>
      <xdr:col>7</xdr:col>
      <xdr:colOff>0</xdr:colOff>
      <xdr:row>4</xdr:row>
      <xdr:rowOff>53706</xdr:rowOff>
    </xdr:to>
    <xdr:pic>
      <xdr:nvPicPr>
        <xdr:cNvPr id="2" name="Picture 1">
          <a:extLst>
            <a:ext uri="{FF2B5EF4-FFF2-40B4-BE49-F238E27FC236}">
              <a16:creationId xmlns:a16="http://schemas.microsoft.com/office/drawing/2014/main" id="{AD4038DE-0B07-4494-B182-0F3DF4661A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092440" y="121920"/>
          <a:ext cx="1196340" cy="6823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093C5-03E2-4C46-B908-9B1D8D31F296}">
  <dimension ref="A1:G26"/>
  <sheetViews>
    <sheetView workbookViewId="0">
      <selection activeCell="M27" sqref="M27"/>
    </sheetView>
  </sheetViews>
  <sheetFormatPr defaultColWidth="8.85546875" defaultRowHeight="14.25" x14ac:dyDescent="0.2"/>
  <cols>
    <col min="1" max="1" width="44.28515625" style="19" customWidth="1"/>
    <col min="2" max="2" width="17.28515625" style="19" bestFit="1" customWidth="1"/>
    <col min="3" max="3" width="14.42578125" style="19" customWidth="1"/>
    <col min="4" max="6" width="16.7109375" style="19" customWidth="1"/>
    <col min="7" max="7" width="18" style="19" customWidth="1"/>
    <col min="8" max="10" width="8.85546875" style="19"/>
    <col min="11" max="12" width="13.28515625" style="19" bestFit="1" customWidth="1"/>
    <col min="13" max="16384" width="8.85546875" style="19"/>
  </cols>
  <sheetData>
    <row r="1" spans="1:7" ht="18" x14ac:dyDescent="0.25">
      <c r="A1" s="17" t="s">
        <v>22</v>
      </c>
      <c r="B1" s="18"/>
      <c r="C1" s="18"/>
      <c r="D1" s="18"/>
      <c r="E1" s="51" t="s">
        <v>30</v>
      </c>
      <c r="F1" s="18"/>
      <c r="G1" s="18"/>
    </row>
    <row r="2" spans="1:7" x14ac:dyDescent="0.2">
      <c r="A2" s="18"/>
      <c r="B2" s="18"/>
      <c r="C2" s="18"/>
      <c r="D2" s="18"/>
      <c r="E2" s="18"/>
      <c r="F2" s="18"/>
      <c r="G2" s="18"/>
    </row>
    <row r="3" spans="1:7" x14ac:dyDescent="0.2">
      <c r="A3" s="19" t="s">
        <v>6</v>
      </c>
      <c r="B3" s="52" t="s">
        <v>9</v>
      </c>
      <c r="C3" s="52"/>
      <c r="D3" s="52"/>
      <c r="E3" s="18"/>
      <c r="F3" s="18"/>
      <c r="G3" s="18"/>
    </row>
    <row r="4" spans="1:7" x14ac:dyDescent="0.2">
      <c r="A4" s="19" t="s">
        <v>7</v>
      </c>
      <c r="B4" s="47">
        <v>50</v>
      </c>
      <c r="C4" s="18"/>
      <c r="D4" s="18"/>
      <c r="E4" s="18"/>
      <c r="F4" s="18"/>
      <c r="G4" s="18"/>
    </row>
    <row r="5" spans="1:7" x14ac:dyDescent="0.2">
      <c r="A5" s="19" t="s">
        <v>8</v>
      </c>
      <c r="B5" s="50">
        <v>20000000</v>
      </c>
      <c r="C5" s="18"/>
      <c r="D5" s="18"/>
      <c r="E5" s="18"/>
      <c r="F5" s="18"/>
      <c r="G5" s="18"/>
    </row>
    <row r="6" spans="1:7" x14ac:dyDescent="0.2">
      <c r="A6" s="19" t="s">
        <v>24</v>
      </c>
      <c r="B6" s="41">
        <f>B5/B4</f>
        <v>400000</v>
      </c>
      <c r="C6" s="18"/>
      <c r="D6" s="18"/>
      <c r="E6" s="18"/>
      <c r="F6" s="18"/>
      <c r="G6" s="18"/>
    </row>
    <row r="7" spans="1:7" x14ac:dyDescent="0.2">
      <c r="A7" s="18"/>
      <c r="B7" s="42"/>
      <c r="C7" s="18"/>
      <c r="D7" s="18"/>
      <c r="E7" s="18"/>
      <c r="F7" s="18"/>
      <c r="G7" s="18"/>
    </row>
    <row r="8" spans="1:7" ht="15" x14ac:dyDescent="0.25">
      <c r="B8" s="26">
        <v>46203</v>
      </c>
      <c r="C8" s="26">
        <v>46568</v>
      </c>
      <c r="D8" s="26">
        <v>46934</v>
      </c>
      <c r="E8" s="26">
        <v>47299</v>
      </c>
      <c r="F8" s="26">
        <v>47664</v>
      </c>
      <c r="G8" s="26">
        <v>48029</v>
      </c>
    </row>
    <row r="9" spans="1:7" x14ac:dyDescent="0.2">
      <c r="A9" s="19" t="s">
        <v>10</v>
      </c>
    </row>
    <row r="10" spans="1:7" x14ac:dyDescent="0.2">
      <c r="B10" s="43"/>
      <c r="C10" s="43"/>
      <c r="D10" s="43"/>
      <c r="E10" s="43"/>
      <c r="F10" s="43"/>
      <c r="G10" s="43"/>
    </row>
    <row r="11" spans="1:7" x14ac:dyDescent="0.2">
      <c r="A11" s="19" t="s">
        <v>14</v>
      </c>
      <c r="B11" s="22">
        <f>$B$4/(Settings!$E$10/12)*$B$5/$B$4</f>
        <v>7606973.0586370835</v>
      </c>
      <c r="C11" s="22">
        <f>$B$4/(Settings!$E$10/12)*$B$5/$B$4</f>
        <v>7606973.0586370835</v>
      </c>
      <c r="D11" s="22">
        <f>$B$4/(Settings!$E$10/12)*$B$5/$B$4</f>
        <v>7606973.0586370835</v>
      </c>
      <c r="E11" s="22">
        <f>$B$4/(Settings!$E$10/12)*$B$5/$B$4</f>
        <v>7606973.0586370835</v>
      </c>
      <c r="F11" s="22">
        <f>$B$4/(Settings!$E$10/12)*$B$5/$B$4</f>
        <v>7606973.0586370835</v>
      </c>
      <c r="G11" s="22">
        <f>$B$4/(Settings!$E$10/12)*$B$5/$B$4</f>
        <v>7606973.0586370835</v>
      </c>
    </row>
    <row r="12" spans="1:7" x14ac:dyDescent="0.2">
      <c r="A12" s="19" t="s">
        <v>13</v>
      </c>
      <c r="B12" s="22">
        <f>B11</f>
        <v>7606973.0586370835</v>
      </c>
      <c r="C12" s="22">
        <f>B12+C11</f>
        <v>15213946.117274167</v>
      </c>
      <c r="D12" s="22">
        <f>IF(C12+D11&lt;$B$5,C12+D11,$B$5)</f>
        <v>20000000</v>
      </c>
      <c r="E12" s="22">
        <f>IF(D12+E11&lt;$B$5,D12+E11,$B$5)</f>
        <v>20000000</v>
      </c>
      <c r="F12" s="22">
        <f>IF(E12+F11&lt;$B$5,E12+F11,$B$5)</f>
        <v>20000000</v>
      </c>
      <c r="G12" s="22">
        <f>IF(F12+G11&lt;$B$5,F12+G11,$B$5)</f>
        <v>20000000</v>
      </c>
    </row>
    <row r="13" spans="1:7" x14ac:dyDescent="0.2">
      <c r="B13" s="22"/>
      <c r="C13" s="22"/>
      <c r="D13" s="22"/>
      <c r="E13" s="22"/>
      <c r="F13" s="22"/>
      <c r="G13" s="22"/>
    </row>
    <row r="14" spans="1:7" ht="15" x14ac:dyDescent="0.25">
      <c r="A14" s="30" t="s">
        <v>29</v>
      </c>
      <c r="B14" s="31">
        <f>B11*Settings!E11*0.5</f>
        <v>76069.730586370832</v>
      </c>
      <c r="C14" s="31">
        <f>B12*Settings!$E$11+'Ret. Inc. Buildup Model'!C11*Settings!$E$11*0.5</f>
        <v>228209.19175911249</v>
      </c>
      <c r="D14" s="31">
        <f>C12*Settings!$E$11+IF(D12=B5,(D12-C12)*Settings!E11*0.5,'Ret. Inc. Buildup Model'!D11*Settings!$E$11*0.5)</f>
        <v>352139.46117274166</v>
      </c>
      <c r="E14" s="31">
        <f>D12*Settings!$E$11+IF(E12=B5,(E12-D12)*Settings!E11*0.5,'Ret. Inc. Buildup Model'!E11*Settings!$E$11)</f>
        <v>400000</v>
      </c>
      <c r="F14" s="31">
        <f>E12*Settings!$E$11+IF(F12=B5,(F12-E12)*Settings!E11*0.5,'Ret. Inc. Buildup Model'!F11*Settings!$E$11)</f>
        <v>400000</v>
      </c>
      <c r="G14" s="32">
        <f>F12*Settings!$E$11+IF(G12=B5,(G12-F12)*Settings!E11*0.5,'Ret. Inc. Buildup Model'!G11*Settings!$E$11)</f>
        <v>400000</v>
      </c>
    </row>
    <row r="15" spans="1:7" ht="15" x14ac:dyDescent="0.25">
      <c r="A15" s="34" t="s">
        <v>16</v>
      </c>
      <c r="B15" s="35">
        <f t="shared" ref="B15:G15" si="0">B14/B12</f>
        <v>0.01</v>
      </c>
      <c r="C15" s="35">
        <f t="shared" si="0"/>
        <v>1.4999999999999999E-2</v>
      </c>
      <c r="D15" s="35">
        <f t="shared" si="0"/>
        <v>1.7606973058637083E-2</v>
      </c>
      <c r="E15" s="35">
        <f t="shared" si="0"/>
        <v>0.02</v>
      </c>
      <c r="F15" s="35">
        <f t="shared" si="0"/>
        <v>0.02</v>
      </c>
      <c r="G15" s="36">
        <f t="shared" si="0"/>
        <v>0.02</v>
      </c>
    </row>
    <row r="16" spans="1:7" ht="15" x14ac:dyDescent="0.25">
      <c r="A16" s="37" t="s">
        <v>20</v>
      </c>
      <c r="B16" s="38">
        <f t="shared" ref="B16:G16" si="1">B14/$B$5</f>
        <v>3.8034865293185417E-3</v>
      </c>
      <c r="C16" s="38">
        <f t="shared" si="1"/>
        <v>1.1410459587955625E-2</v>
      </c>
      <c r="D16" s="38">
        <f t="shared" si="1"/>
        <v>1.7606973058637083E-2</v>
      </c>
      <c r="E16" s="38">
        <f t="shared" si="1"/>
        <v>0.02</v>
      </c>
      <c r="F16" s="38">
        <f t="shared" si="1"/>
        <v>0.02</v>
      </c>
      <c r="G16" s="39">
        <f t="shared" si="1"/>
        <v>0.02</v>
      </c>
    </row>
    <row r="17" spans="1:7" x14ac:dyDescent="0.2">
      <c r="B17" s="40"/>
      <c r="C17" s="40"/>
      <c r="D17" s="40"/>
      <c r="E17" s="40"/>
      <c r="F17" s="40"/>
      <c r="G17" s="40"/>
    </row>
    <row r="18" spans="1:7" x14ac:dyDescent="0.2">
      <c r="A18" s="53" t="s">
        <v>28</v>
      </c>
      <c r="B18" s="53"/>
      <c r="C18" s="53"/>
      <c r="D18" s="53"/>
      <c r="E18" s="53"/>
      <c r="F18" s="53"/>
      <c r="G18" s="53"/>
    </row>
    <row r="19" spans="1:7" x14ac:dyDescent="0.2">
      <c r="A19" s="53"/>
      <c r="B19" s="53"/>
      <c r="C19" s="53"/>
      <c r="D19" s="53"/>
      <c r="E19" s="53"/>
      <c r="F19" s="53"/>
      <c r="G19" s="53"/>
    </row>
    <row r="20" spans="1:7" x14ac:dyDescent="0.2">
      <c r="A20" s="18"/>
      <c r="B20" s="44"/>
      <c r="C20" s="44"/>
      <c r="D20" s="44"/>
      <c r="E20" s="44"/>
      <c r="F20" s="44"/>
      <c r="G20" s="18"/>
    </row>
    <row r="21" spans="1:7" x14ac:dyDescent="0.2">
      <c r="A21" s="18"/>
      <c r="B21" s="18"/>
      <c r="C21" s="18"/>
      <c r="D21" s="18"/>
      <c r="E21" s="18"/>
      <c r="F21" s="25"/>
      <c r="G21" s="18"/>
    </row>
    <row r="22" spans="1:7" x14ac:dyDescent="0.2">
      <c r="A22" s="18"/>
      <c r="B22" s="44"/>
      <c r="C22" s="44"/>
      <c r="D22" s="44"/>
      <c r="E22" s="44"/>
      <c r="F22" s="44"/>
      <c r="G22" s="44"/>
    </row>
    <row r="24" spans="1:7" x14ac:dyDescent="0.2">
      <c r="F24" s="45"/>
    </row>
    <row r="25" spans="1:7" x14ac:dyDescent="0.2">
      <c r="G25" s="46"/>
    </row>
    <row r="26" spans="1:7" x14ac:dyDescent="0.2">
      <c r="F26" s="45"/>
    </row>
  </sheetData>
  <sheetProtection sheet="1" objects="1" scenarios="1"/>
  <mergeCells count="2">
    <mergeCell ref="B3:D3"/>
    <mergeCell ref="A18:G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workbookViewId="0">
      <selection activeCell="H37" sqref="H37"/>
    </sheetView>
  </sheetViews>
  <sheetFormatPr defaultColWidth="8.85546875" defaultRowHeight="14.25" outlineLevelRow="1" x14ac:dyDescent="0.2"/>
  <cols>
    <col min="1" max="1" width="40.42578125" style="18" customWidth="1"/>
    <col min="2" max="2" width="15.28515625" style="18" bestFit="1" customWidth="1"/>
    <col min="3" max="3" width="14.42578125" style="18" customWidth="1"/>
    <col min="4" max="6" width="16.7109375" style="18" customWidth="1"/>
    <col min="7" max="7" width="18" style="18" customWidth="1"/>
    <col min="8" max="8" width="8.85546875" style="18"/>
    <col min="9" max="9" width="11.42578125" style="18" customWidth="1"/>
    <col min="10" max="12" width="9.140625" style="18" bestFit="1" customWidth="1"/>
    <col min="13" max="16384" width="8.85546875" style="18"/>
  </cols>
  <sheetData>
    <row r="1" spans="1:7" ht="18" x14ac:dyDescent="0.25">
      <c r="A1" s="17" t="s">
        <v>23</v>
      </c>
      <c r="E1" s="51" t="s">
        <v>30</v>
      </c>
    </row>
    <row r="2" spans="1:7" x14ac:dyDescent="0.2">
      <c r="D2" s="20"/>
    </row>
    <row r="3" spans="1:7" x14ac:dyDescent="0.2">
      <c r="A3" s="19" t="s">
        <v>6</v>
      </c>
      <c r="B3" s="52" t="s">
        <v>9</v>
      </c>
      <c r="C3" s="52"/>
      <c r="D3" s="52"/>
    </row>
    <row r="4" spans="1:7" x14ac:dyDescent="0.2">
      <c r="A4" s="19" t="s">
        <v>7</v>
      </c>
      <c r="B4" s="47">
        <v>50</v>
      </c>
    </row>
    <row r="5" spans="1:7" x14ac:dyDescent="0.2">
      <c r="A5" s="19" t="s">
        <v>8</v>
      </c>
      <c r="B5" s="48">
        <v>20000000</v>
      </c>
      <c r="C5" s="21"/>
      <c r="D5" s="21"/>
    </row>
    <row r="6" spans="1:7" x14ac:dyDescent="0.2">
      <c r="A6" s="19" t="s">
        <v>25</v>
      </c>
      <c r="B6" s="22">
        <f>B5/B4</f>
        <v>400000</v>
      </c>
      <c r="C6" s="23"/>
      <c r="D6" s="23"/>
      <c r="G6" s="24"/>
    </row>
    <row r="7" spans="1:7" x14ac:dyDescent="0.2">
      <c r="A7" s="19" t="s">
        <v>26</v>
      </c>
      <c r="B7" s="48">
        <v>500000</v>
      </c>
      <c r="C7" s="23"/>
      <c r="D7" s="23"/>
      <c r="G7" s="24"/>
    </row>
    <row r="8" spans="1:7" x14ac:dyDescent="0.2">
      <c r="A8" s="19" t="s">
        <v>27</v>
      </c>
      <c r="B8" s="49">
        <v>0.02</v>
      </c>
    </row>
    <row r="9" spans="1:7" x14ac:dyDescent="0.2">
      <c r="B9" s="25"/>
    </row>
    <row r="10" spans="1:7" ht="15" x14ac:dyDescent="0.25">
      <c r="A10" s="19"/>
      <c r="B10" s="26">
        <v>46203</v>
      </c>
      <c r="C10" s="26">
        <v>46568</v>
      </c>
      <c r="D10" s="26">
        <v>46934</v>
      </c>
      <c r="E10" s="26">
        <v>47299</v>
      </c>
      <c r="F10" s="26">
        <v>47664</v>
      </c>
      <c r="G10" s="26">
        <v>48029</v>
      </c>
    </row>
    <row r="11" spans="1:7" hidden="1" outlineLevel="1" x14ac:dyDescent="0.2">
      <c r="A11" s="19"/>
      <c r="B11" s="27">
        <f>$B$4/(Settings!$E$10/12)</f>
        <v>19.017432646592709</v>
      </c>
      <c r="C11" s="27">
        <f>$B$4/(Settings!$E$10/12)</f>
        <v>19.017432646592709</v>
      </c>
      <c r="D11" s="27">
        <f>$B$4/(Settings!$E$10/12)</f>
        <v>19.017432646592709</v>
      </c>
      <c r="E11" s="27">
        <f>$B$4/(Settings!$E$10/12)</f>
        <v>19.017432646592709</v>
      </c>
      <c r="F11" s="27">
        <f>$B$4/(Settings!$E$10/12)</f>
        <v>19.017432646592709</v>
      </c>
      <c r="G11" s="27">
        <f>$B$4/(Settings!$E$10/12)</f>
        <v>19.017432646592709</v>
      </c>
    </row>
    <row r="12" spans="1:7" hidden="1" outlineLevel="1" x14ac:dyDescent="0.2">
      <c r="A12" s="19" t="s">
        <v>17</v>
      </c>
      <c r="B12" s="22">
        <f>B11/2*$B6</f>
        <v>3803486.5293185418</v>
      </c>
      <c r="C12" s="22">
        <f>C11*$B6</f>
        <v>7606973.0586370835</v>
      </c>
      <c r="D12" s="22">
        <f>IF(SUM(B11:D11)&gt;B4,(SUM(B11:D11)-$B$4)*B7+((D11-(SUM(B11:D11)-B4)))*B6,D11*B6)</f>
        <v>8312202.8526148964</v>
      </c>
      <c r="E12" s="22">
        <f>E11*$B7</f>
        <v>9508716.3232963551</v>
      </c>
      <c r="F12" s="22">
        <f>F11*$B7</f>
        <v>9508716.3232963551</v>
      </c>
      <c r="G12" s="22">
        <f>IF(SUM(E11:G11)&gt;B4,(SUM(E11:G11)-$B$4)*B7+((G11-(SUM(E11:G11)-B4)))*B7,G11*B7)</f>
        <v>9508716.3232963551</v>
      </c>
    </row>
    <row r="13" spans="1:7" hidden="1" outlineLevel="1" x14ac:dyDescent="0.2">
      <c r="A13" s="19"/>
      <c r="B13" s="27">
        <f>$B$4/(Settings!$E$10/12)</f>
        <v>19.017432646592709</v>
      </c>
      <c r="C13" s="27">
        <f>$B$4/(Settings!$E$10/12)</f>
        <v>19.017432646592709</v>
      </c>
      <c r="D13" s="27">
        <f>$B$4/(Settings!$E$10/12)</f>
        <v>19.017432646592709</v>
      </c>
      <c r="E13" s="27">
        <f>$B$4/(Settings!$E$10/12)</f>
        <v>19.017432646592709</v>
      </c>
      <c r="F13" s="27">
        <f>$B$4/(Settings!$E$10/12)</f>
        <v>19.017432646592709</v>
      </c>
      <c r="G13" s="27">
        <f>$B$4/(Settings!$E$10/12)</f>
        <v>19.017432646592709</v>
      </c>
    </row>
    <row r="14" spans="1:7" hidden="1" outlineLevel="1" x14ac:dyDescent="0.2">
      <c r="A14" s="19" t="s">
        <v>18</v>
      </c>
      <c r="B14" s="22">
        <f>B13/2*B17</f>
        <v>4849445.3248811411</v>
      </c>
      <c r="C14" s="22">
        <f>C13*C17</f>
        <v>9892868.4627575278</v>
      </c>
      <c r="D14" s="22">
        <f>IF(SUM(B13:D13)&gt;B4,(SUM(B13:D13)-$B$4)*D17+((D13-(SUM(B13:D13)-B4)))*B7,D13*B7)</f>
        <v>9724544.8494453244</v>
      </c>
      <c r="E14" s="22">
        <f>E13*E17</f>
        <v>10292540.348652931</v>
      </c>
      <c r="F14" s="22">
        <f>F13*F17</f>
        <v>10498391.15562599</v>
      </c>
      <c r="G14" s="22">
        <f>IF(SUM(E13:G13)&gt;B4,(SUM(E13:G13)-$B$4)*G17+((G13-(SUM(E13:G13)-B4)))*B7,G13*B7)</f>
        <v>9953583.8080228195</v>
      </c>
    </row>
    <row r="15" spans="1:7" hidden="1" outlineLevel="1" x14ac:dyDescent="0.2">
      <c r="A15" s="28" t="s">
        <v>19</v>
      </c>
      <c r="B15" s="22">
        <f t="shared" ref="B15:G15" si="0">B14-B12</f>
        <v>1045958.7955625993</v>
      </c>
      <c r="C15" s="22">
        <f t="shared" si="0"/>
        <v>2285895.4041204443</v>
      </c>
      <c r="D15" s="22">
        <f t="shared" si="0"/>
        <v>1412341.996830428</v>
      </c>
      <c r="E15" s="22">
        <f t="shared" si="0"/>
        <v>783824.02535657585</v>
      </c>
      <c r="F15" s="22">
        <f t="shared" si="0"/>
        <v>989674.83232963458</v>
      </c>
      <c r="G15" s="22">
        <f t="shared" si="0"/>
        <v>444867.48472646438</v>
      </c>
    </row>
    <row r="16" spans="1:7" ht="15.75" collapsed="1" thickBot="1" x14ac:dyDescent="0.3">
      <c r="A16" s="19" t="s">
        <v>31</v>
      </c>
      <c r="B16" s="54">
        <f>$B$5-B12+B14</f>
        <v>21045958.795562599</v>
      </c>
      <c r="C16" s="54">
        <f>B$16-C12+C14</f>
        <v>23331854.199683044</v>
      </c>
      <c r="D16" s="54">
        <f>C$16-D12+D14</f>
        <v>24744196.196513474</v>
      </c>
      <c r="E16" s="54">
        <f>D$16-E12+E14</f>
        <v>25528020.22187005</v>
      </c>
      <c r="F16" s="54">
        <f>E$16-F12+F14</f>
        <v>26517695.054199684</v>
      </c>
      <c r="G16" s="54">
        <f>F$16-G12+G14</f>
        <v>26962562.538926147</v>
      </c>
    </row>
    <row r="17" spans="1:7" ht="15" thickTop="1" x14ac:dyDescent="0.2">
      <c r="A17" s="19" t="s">
        <v>32</v>
      </c>
      <c r="B17" s="29">
        <f>B7*$B$8+B7</f>
        <v>510000</v>
      </c>
      <c r="C17" s="29">
        <f>B17*$B$8+B17</f>
        <v>520200</v>
      </c>
      <c r="D17" s="29">
        <f>C17*$B$8+C17</f>
        <v>530604</v>
      </c>
      <c r="E17" s="29">
        <f>D17*$B$8+D17</f>
        <v>541216.07999999996</v>
      </c>
      <c r="F17" s="29">
        <f>E17*$B$8+E17</f>
        <v>552040.40159999998</v>
      </c>
      <c r="G17" s="29">
        <f>F17*$B$8+F17</f>
        <v>563081.20963199995</v>
      </c>
    </row>
    <row r="18" spans="1:7" x14ac:dyDescent="0.2">
      <c r="A18" s="19"/>
      <c r="B18" s="19"/>
      <c r="C18" s="19"/>
      <c r="D18" s="19"/>
      <c r="E18" s="19"/>
      <c r="F18" s="19"/>
      <c r="G18" s="19"/>
    </row>
    <row r="19" spans="1:7" hidden="1" x14ac:dyDescent="0.2">
      <c r="A19" s="19" t="s">
        <v>14</v>
      </c>
      <c r="B19" s="22">
        <f t="shared" ref="B19:G19" si="1">B14</f>
        <v>4849445.3248811411</v>
      </c>
      <c r="C19" s="22">
        <f t="shared" si="1"/>
        <v>9892868.4627575278</v>
      </c>
      <c r="D19" s="22">
        <f t="shared" si="1"/>
        <v>9724544.8494453244</v>
      </c>
      <c r="E19" s="22">
        <f t="shared" si="1"/>
        <v>10292540.348652931</v>
      </c>
      <c r="F19" s="22">
        <f t="shared" si="1"/>
        <v>10498391.15562599</v>
      </c>
      <c r="G19" s="22">
        <f t="shared" si="1"/>
        <v>9953583.8080228195</v>
      </c>
    </row>
    <row r="20" spans="1:7" hidden="1" x14ac:dyDescent="0.2">
      <c r="A20" s="19" t="s">
        <v>13</v>
      </c>
      <c r="B20" s="22">
        <f>IF(B19&lt;$B$16,B19,$B$16)</f>
        <v>4849445.3248811411</v>
      </c>
      <c r="C20" s="22">
        <f>IF(B20+C19&lt;$C$16,B20+C19,$C$16)</f>
        <v>14742313.787638668</v>
      </c>
      <c r="D20" s="22">
        <f>IF(C20+D19&lt;$D$16,C20+D19,$D$16)</f>
        <v>24466858.637083992</v>
      </c>
      <c r="E20" s="22">
        <f>IF(D20+E19&lt;$E$16,D20+E19,$E$16)</f>
        <v>25528020.22187005</v>
      </c>
      <c r="F20" s="22">
        <f>IF(E20+F19&lt;$F$16,E20+F19,$F$16)</f>
        <v>26517695.054199684</v>
      </c>
      <c r="G20" s="22">
        <f>IF(F20+G19&lt;$G$16,F20+G19,$G$16)</f>
        <v>26962562.538926147</v>
      </c>
    </row>
    <row r="21" spans="1:7" s="33" customFormat="1" ht="15" x14ac:dyDescent="0.25">
      <c r="A21" s="30" t="s">
        <v>21</v>
      </c>
      <c r="B21" s="31">
        <f>B19*Settings!E11*0.5</f>
        <v>48494.453248811413</v>
      </c>
      <c r="C21" s="31">
        <f>B20*Settings!$E$11+'Ret. Inc. Buildup Model Average'!C19*Settings!$E$11*0.5</f>
        <v>195917.59112519812</v>
      </c>
      <c r="D21" s="31">
        <f>C20*Settings!$E$11+IF(D20=D16,(D20-C20)*Settings!E11,'Ret. Inc. Buildup Model Average'!D19*Settings!$E$11*0.5)</f>
        <v>392091.72424722661</v>
      </c>
      <c r="E21" s="31">
        <f>D20*Settings!$E$11+IF(E20=E16,(E20-D20)*Settings!E11,'Ret. Inc. Buildup Model Average'!E19*Settings!$E$11)</f>
        <v>510560.40443740104</v>
      </c>
      <c r="F21" s="31">
        <f>E20*Settings!$E$11+IF(F20=F16,(F20-E20)*Settings!E11,'Ret. Inc. Buildup Model Average'!F19*Settings!$E$11)</f>
        <v>530353.90108399373</v>
      </c>
      <c r="G21" s="32">
        <f>F20*Settings!$E$11+IF(G20=G16,(G20-F20)*Settings!E11,'Ret. Inc. Buildup Model Average'!G19*Settings!$E$11)</f>
        <v>539251.25077852292</v>
      </c>
    </row>
    <row r="22" spans="1:7" s="33" customFormat="1" ht="15" x14ac:dyDescent="0.25">
      <c r="A22" s="34" t="s">
        <v>16</v>
      </c>
      <c r="B22" s="35">
        <f t="shared" ref="B22:G22" si="2">B21/B20</f>
        <v>0.01</v>
      </c>
      <c r="C22" s="35">
        <f t="shared" si="2"/>
        <v>1.3289473684210528E-2</v>
      </c>
      <c r="D22" s="35">
        <f t="shared" si="2"/>
        <v>1.6025421573856644E-2</v>
      </c>
      <c r="E22" s="35">
        <f t="shared" si="2"/>
        <v>0.02</v>
      </c>
      <c r="F22" s="35">
        <f t="shared" si="2"/>
        <v>0.02</v>
      </c>
      <c r="G22" s="36">
        <f t="shared" si="2"/>
        <v>0.02</v>
      </c>
    </row>
    <row r="23" spans="1:7" s="33" customFormat="1" ht="15" x14ac:dyDescent="0.25">
      <c r="A23" s="37" t="s">
        <v>20</v>
      </c>
      <c r="B23" s="38">
        <f t="shared" ref="B23:G23" si="3">B21/B$16</f>
        <v>2.3042168674698798E-3</v>
      </c>
      <c r="C23" s="38">
        <f t="shared" si="3"/>
        <v>8.3970004890506992E-3</v>
      </c>
      <c r="D23" s="38">
        <f t="shared" si="3"/>
        <v>1.5845805664217671E-2</v>
      </c>
      <c r="E23" s="38">
        <f t="shared" si="3"/>
        <v>0.02</v>
      </c>
      <c r="F23" s="38">
        <f t="shared" si="3"/>
        <v>0.02</v>
      </c>
      <c r="G23" s="39">
        <f t="shared" si="3"/>
        <v>0.02</v>
      </c>
    </row>
    <row r="24" spans="1:7" x14ac:dyDescent="0.2">
      <c r="A24" s="19"/>
      <c r="B24" s="40"/>
      <c r="C24" s="40"/>
      <c r="D24" s="40"/>
      <c r="E24" s="40"/>
      <c r="F24" s="40"/>
      <c r="G24" s="40"/>
    </row>
    <row r="25" spans="1:7" x14ac:dyDescent="0.2">
      <c r="A25" s="53" t="s">
        <v>28</v>
      </c>
      <c r="B25" s="53"/>
      <c r="C25" s="53"/>
      <c r="D25" s="53"/>
      <c r="E25" s="53"/>
      <c r="F25" s="53"/>
      <c r="G25" s="53"/>
    </row>
    <row r="26" spans="1:7" x14ac:dyDescent="0.2">
      <c r="A26" s="53"/>
      <c r="B26" s="53"/>
      <c r="C26" s="53"/>
      <c r="D26" s="53"/>
      <c r="E26" s="53"/>
      <c r="F26" s="53"/>
      <c r="G26" s="53"/>
    </row>
  </sheetData>
  <sheetProtection sheet="1" objects="1" scenarios="1"/>
  <mergeCells count="2">
    <mergeCell ref="B3:D3"/>
    <mergeCell ref="A25:G26"/>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B9019-875B-4D06-AFFE-056608C09EBF}">
  <dimension ref="B1:F40"/>
  <sheetViews>
    <sheetView showGridLines="0" tabSelected="1" topLeftCell="A7" workbookViewId="0">
      <selection activeCell="C35" sqref="C35"/>
    </sheetView>
  </sheetViews>
  <sheetFormatPr defaultRowHeight="15" x14ac:dyDescent="0.25"/>
  <cols>
    <col min="1" max="1" width="2.5703125" customWidth="1"/>
    <col min="2" max="2" width="16.28515625" customWidth="1"/>
    <col min="3" max="3" width="30.28515625" customWidth="1"/>
    <col min="4" max="4" width="1" customWidth="1"/>
    <col min="5" max="5" width="12.42578125" customWidth="1"/>
  </cols>
  <sheetData>
    <row r="1" spans="2:6" hidden="1" x14ac:dyDescent="0.25"/>
    <row r="2" spans="2:6" hidden="1" x14ac:dyDescent="0.25"/>
    <row r="3" spans="2:6" hidden="1" x14ac:dyDescent="0.25"/>
    <row r="4" spans="2:6" hidden="1" x14ac:dyDescent="0.25"/>
    <row r="5" spans="2:6" hidden="1" x14ac:dyDescent="0.25">
      <c r="F5" s="1"/>
    </row>
    <row r="6" spans="2:6" hidden="1" x14ac:dyDescent="0.25">
      <c r="F6" s="1"/>
    </row>
    <row r="7" spans="2:6" x14ac:dyDescent="0.25">
      <c r="F7" s="1"/>
    </row>
    <row r="8" spans="2:6" x14ac:dyDescent="0.25">
      <c r="B8" s="2" t="s">
        <v>0</v>
      </c>
      <c r="C8" s="3" t="s">
        <v>1</v>
      </c>
      <c r="D8" s="4"/>
      <c r="E8" s="5"/>
      <c r="F8" s="6" t="s">
        <v>2</v>
      </c>
    </row>
    <row r="9" spans="2:6" x14ac:dyDescent="0.25">
      <c r="B9" s="7"/>
      <c r="C9" s="8"/>
      <c r="D9" s="8"/>
      <c r="E9" s="10"/>
      <c r="F9" s="9"/>
    </row>
    <row r="10" spans="2:6" x14ac:dyDescent="0.25">
      <c r="B10" s="7" t="s">
        <v>5</v>
      </c>
      <c r="C10" s="8" t="s">
        <v>4</v>
      </c>
      <c r="D10" s="8"/>
      <c r="E10" s="10">
        <v>31.55</v>
      </c>
      <c r="F10" s="9" t="s">
        <v>3</v>
      </c>
    </row>
    <row r="11" spans="2:6" x14ac:dyDescent="0.25">
      <c r="B11" s="7" t="s">
        <v>12</v>
      </c>
      <c r="C11" s="8" t="s">
        <v>11</v>
      </c>
      <c r="D11" s="8"/>
      <c r="E11" s="10">
        <v>0.02</v>
      </c>
      <c r="F11" s="9" t="s">
        <v>3</v>
      </c>
    </row>
    <row r="12" spans="2:6" x14ac:dyDescent="0.25">
      <c r="B12" s="7"/>
      <c r="C12" s="8" t="s">
        <v>15</v>
      </c>
      <c r="D12" s="8"/>
      <c r="E12" s="16">
        <v>0.16</v>
      </c>
      <c r="F12" s="9"/>
    </row>
    <row r="13" spans="2:6" x14ac:dyDescent="0.25">
      <c r="B13" s="7"/>
      <c r="C13" s="8"/>
      <c r="D13" s="8"/>
      <c r="E13" s="10"/>
      <c r="F13" s="9"/>
    </row>
    <row r="14" spans="2:6" x14ac:dyDescent="0.25">
      <c r="B14" s="7"/>
      <c r="C14" s="8"/>
      <c r="D14" s="8"/>
      <c r="E14" s="10"/>
      <c r="F14" s="9"/>
    </row>
    <row r="15" spans="2:6" x14ac:dyDescent="0.25">
      <c r="B15" s="7"/>
      <c r="C15" s="8"/>
      <c r="D15" s="8"/>
      <c r="E15" s="10"/>
      <c r="F15" s="9"/>
    </row>
    <row r="16" spans="2:6" x14ac:dyDescent="0.25">
      <c r="B16" s="7"/>
      <c r="C16" s="8"/>
      <c r="D16" s="8"/>
      <c r="E16" s="10"/>
      <c r="F16" s="9"/>
    </row>
    <row r="17" spans="2:6" x14ac:dyDescent="0.25">
      <c r="B17" s="7"/>
      <c r="C17" s="8"/>
      <c r="D17" s="8"/>
      <c r="E17" s="10"/>
      <c r="F17" s="9"/>
    </row>
    <row r="18" spans="2:6" x14ac:dyDescent="0.25">
      <c r="B18" s="7"/>
      <c r="C18" s="8"/>
      <c r="D18" s="8"/>
      <c r="E18" s="10"/>
      <c r="F18" s="9"/>
    </row>
    <row r="19" spans="2:6" x14ac:dyDescent="0.25">
      <c r="B19" s="7"/>
      <c r="C19" s="8"/>
      <c r="D19" s="8"/>
      <c r="E19" s="10"/>
      <c r="F19" s="9"/>
    </row>
    <row r="20" spans="2:6" x14ac:dyDescent="0.25">
      <c r="B20" s="7"/>
      <c r="C20" s="8"/>
      <c r="D20" s="8"/>
      <c r="E20" s="10"/>
      <c r="F20" s="9"/>
    </row>
    <row r="21" spans="2:6" x14ac:dyDescent="0.25">
      <c r="B21" s="7"/>
      <c r="C21" s="8"/>
      <c r="D21" s="8"/>
      <c r="E21" s="10"/>
      <c r="F21" s="9"/>
    </row>
    <row r="22" spans="2:6" x14ac:dyDescent="0.25">
      <c r="B22" s="7"/>
      <c r="C22" s="8"/>
      <c r="D22" s="8"/>
      <c r="E22" s="10"/>
      <c r="F22" s="9"/>
    </row>
    <row r="23" spans="2:6" x14ac:dyDescent="0.25">
      <c r="B23" s="7"/>
      <c r="C23" s="8"/>
      <c r="D23" s="8"/>
      <c r="E23" s="10"/>
      <c r="F23" s="9"/>
    </row>
    <row r="24" spans="2:6" x14ac:dyDescent="0.25">
      <c r="B24" s="7"/>
      <c r="C24" s="8"/>
      <c r="D24" s="8"/>
      <c r="E24" s="10"/>
      <c r="F24" s="9"/>
    </row>
    <row r="25" spans="2:6" x14ac:dyDescent="0.25">
      <c r="B25" s="7"/>
      <c r="C25" s="8"/>
      <c r="D25" s="11"/>
      <c r="E25" s="10"/>
      <c r="F25" s="9"/>
    </row>
    <row r="26" spans="2:6" x14ac:dyDescent="0.25">
      <c r="B26" s="7"/>
      <c r="C26" s="8"/>
      <c r="D26" s="11"/>
      <c r="E26" s="10"/>
      <c r="F26" s="9"/>
    </row>
    <row r="27" spans="2:6" x14ac:dyDescent="0.25">
      <c r="B27" s="7"/>
      <c r="C27" s="8"/>
      <c r="D27" s="11"/>
      <c r="E27" s="12"/>
      <c r="F27" s="9"/>
    </row>
    <row r="28" spans="2:6" x14ac:dyDescent="0.25">
      <c r="B28" s="13"/>
      <c r="C28" s="14"/>
      <c r="D28" s="14"/>
      <c r="E28" s="15"/>
      <c r="F28" s="9"/>
    </row>
    <row r="29" spans="2:6" x14ac:dyDescent="0.25">
      <c r="F29" s="1"/>
    </row>
    <row r="30" spans="2:6" x14ac:dyDescent="0.25">
      <c r="F30" s="1"/>
    </row>
    <row r="32" spans="2:6" x14ac:dyDescent="0.25">
      <c r="F32" s="1"/>
    </row>
    <row r="34" spans="6:6" x14ac:dyDescent="0.25">
      <c r="F34" s="1"/>
    </row>
    <row r="36" spans="6:6" x14ac:dyDescent="0.25">
      <c r="F36" s="1"/>
    </row>
    <row r="38" spans="6:6" x14ac:dyDescent="0.25">
      <c r="F38" s="1"/>
    </row>
    <row r="40" spans="6:6" x14ac:dyDescent="0.25">
      <c r="F40" s="1"/>
    </row>
  </sheetData>
  <dataValidations count="1">
    <dataValidation type="list" allowBlank="1" showInputMessage="1" showErrorMessage="1" sqref="F9:F28" xr:uid="{9CC465FB-A01A-4D57-B17A-BAC1D29CEE3F}">
      <formula1>"Updated,Review,Checked,No Need"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74169DF7DAB54D8D137808140853A5" ma:contentTypeVersion="15" ma:contentTypeDescription="Create a new document." ma:contentTypeScope="" ma:versionID="d90ead94baaf778020cc775a6b0c97b5">
  <xsd:schema xmlns:xsd="http://www.w3.org/2001/XMLSchema" xmlns:xs="http://www.w3.org/2001/XMLSchema" xmlns:p="http://schemas.microsoft.com/office/2006/metadata/properties" xmlns:ns2="c475b565-70a7-4e9d-bd14-4392229c3b0f" xmlns:ns3="ca03d91f-ceed-4bea-96b8-b42f9217de98" targetNamespace="http://schemas.microsoft.com/office/2006/metadata/properties" ma:root="true" ma:fieldsID="11f70e5f52e5352105040818099c0ff1" ns2:_="" ns3:_="">
    <xsd:import namespace="c475b565-70a7-4e9d-bd14-4392229c3b0f"/>
    <xsd:import namespace="ca03d91f-ceed-4bea-96b8-b42f9217de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5b565-70a7-4e9d-bd14-4392229c3b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f4fe3fa-2dc9-40b2-9b8e-98092287545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03d91f-ceed-4bea-96b8-b42f9217de9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700c199-71c9-49a6-8301-11389fc1859f}" ma:internalName="TaxCatchAll" ma:showField="CatchAllData" ma:web="ca03d91f-ceed-4bea-96b8-b42f9217de9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a03d91f-ceed-4bea-96b8-b42f9217de98" xsi:nil="true"/>
    <lcf76f155ced4ddcb4097134ff3c332f xmlns="c475b565-70a7-4e9d-bd14-4392229c3b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79835E-1856-44AD-8DAF-385B7E32B5BB}">
  <ds:schemaRefs>
    <ds:schemaRef ds:uri="http://schemas.microsoft.com/sharepoint/v3/contenttype/forms"/>
  </ds:schemaRefs>
</ds:datastoreItem>
</file>

<file path=customXml/itemProps2.xml><?xml version="1.0" encoding="utf-8"?>
<ds:datastoreItem xmlns:ds="http://schemas.openxmlformats.org/officeDocument/2006/customXml" ds:itemID="{9DBF21A6-F1F7-4801-955A-FBC74B60F4D1}"/>
</file>

<file path=customXml/itemProps3.xml><?xml version="1.0" encoding="utf-8"?>
<ds:datastoreItem xmlns:ds="http://schemas.openxmlformats.org/officeDocument/2006/customXml" ds:itemID="{6C1DB3E5-7CEF-4465-AF85-5970247D3870}">
  <ds:schemaRefs>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599e2f0a-407c-4796-8494-4c7ea0178151"/>
    <ds:schemaRef ds:uri="http://schemas.microsoft.com/office/2006/metadata/properties"/>
    <ds:schemaRef ds:uri="http://purl.org/dc/dcmitype/"/>
    <ds:schemaRef ds:uri="http://schemas.openxmlformats.org/package/2006/metadata/core-properties"/>
    <ds:schemaRef ds:uri="8f05b9a1-37c6-410a-a765-746fcd40ee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Ret. Inc. Buildup Model</vt:lpstr>
      <vt:lpstr>Ret. Inc. Buildup Model Average</vt:lpstr>
      <vt:lpstr>Settings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Barresi</dc:creator>
  <cp:lastModifiedBy>Angie Oe</cp:lastModifiedBy>
  <dcterms:created xsi:type="dcterms:W3CDTF">2015-06-05T18:17:20Z</dcterms:created>
  <dcterms:modified xsi:type="dcterms:W3CDTF">2024-11-19T05:25:08Z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0x0101000A74169DF7DAB54D8D137808140853A5</vt:lpwstr>
  </property>
  <property fmtid="{D5CDD505-2E9C-101B-9397-08002B2CF9AE}" pid="3" name="MediaServiceImageTags">
    <vt:lpwstr/>
  </property>
</Properties>
</file>