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rideliving.sharepoint.com/sites/marketing/Shared Documents/Content Marketing/Articles and Podcasts/Pride Insights/2027/September 2026 - S&amp;G Insight - SR/"/>
    </mc:Choice>
  </mc:AlternateContent>
  <xr:revisionPtr revIDLastSave="8" documentId="8_{8FB633C1-2D57-4DD6-BB8E-6EEF5E71C1CD}" xr6:coauthVersionLast="47" xr6:coauthVersionMax="47" xr10:uidLastSave="{18FCBDFA-187D-4F6F-945B-9A6CD54F0267}"/>
  <bookViews>
    <workbookView xWindow="-28920" yWindow="945" windowWidth="29040" windowHeight="15720" xr2:uid="{5B3F6511-F79D-469D-BF1A-6C84703AFDBC}"/>
  </bookViews>
  <sheets>
    <sheet name="About This Model" sheetId="1" r:id="rId1"/>
    <sheet name="Three-margin P&amp;L" sheetId="2" r:id="rId2"/>
    <sheet name="Assumptions" sheetId="3" r:id="rId3"/>
    <sheet name="Benchmark" sheetId="4" r:id="rId4"/>
  </sheets>
  <definedNames>
    <definedName name="_xlnm.Print_Area" localSheetId="0">'About This Model'!$B$1:$H$35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9" i="3" l="1"/>
  <c r="B32" i="3"/>
  <c r="E53" i="2" s="1"/>
  <c r="B87" i="2"/>
  <c r="C87" i="2" s="1"/>
  <c r="B85" i="2"/>
  <c r="C85" i="2" s="1"/>
  <c r="E52" i="2"/>
  <c r="E51" i="2"/>
  <c r="B51" i="2"/>
  <c r="B52" i="2" s="1"/>
  <c r="B41" i="2"/>
  <c r="B40" i="2"/>
  <c r="B24" i="2" s="1"/>
  <c r="C36" i="2"/>
  <c r="E36" i="2" s="1"/>
  <c r="G36" i="2" s="1"/>
  <c r="B27" i="2"/>
  <c r="B26" i="2"/>
  <c r="E26" i="2" s="1"/>
  <c r="G26" i="2" s="1"/>
  <c r="B25" i="2"/>
  <c r="C25" i="2" s="1"/>
  <c r="B20" i="2"/>
  <c r="D20" i="2" s="1"/>
  <c r="B19" i="2"/>
  <c r="B16" i="2"/>
  <c r="B46" i="2" s="1"/>
  <c r="C15" i="2"/>
  <c r="B15" i="2"/>
  <c r="E15" i="2" s="1"/>
  <c r="G15" i="2" s="1"/>
  <c r="B14" i="2"/>
  <c r="F11" i="2"/>
  <c r="B9" i="2" l="1"/>
  <c r="D9" i="2" s="1"/>
  <c r="E9" i="2" s="1"/>
  <c r="G9" i="2" s="1"/>
  <c r="B8" i="2"/>
  <c r="B10" i="2"/>
  <c r="C24" i="2"/>
  <c r="C46" i="2" s="1"/>
  <c r="D46" i="2" s="1"/>
  <c r="E25" i="2"/>
  <c r="G25" i="2" s="1"/>
  <c r="B53" i="2"/>
  <c r="C14" i="2" s="1"/>
  <c r="D16" i="2"/>
  <c r="C10" i="2"/>
  <c r="D10" i="2"/>
  <c r="B17" i="2"/>
  <c r="E17" i="2" s="1"/>
  <c r="G17" i="2" s="1"/>
  <c r="B28" i="2"/>
  <c r="C8" i="2"/>
  <c r="B7" i="2"/>
  <c r="B18" i="2"/>
  <c r="D27" i="2"/>
  <c r="E27" i="2" s="1"/>
  <c r="D8" i="2"/>
  <c r="C20" i="2"/>
  <c r="E20" i="2" s="1"/>
  <c r="G20" i="2" s="1"/>
  <c r="D19" i="2"/>
  <c r="E19" i="2" s="1"/>
  <c r="D24" i="2" l="1"/>
  <c r="D31" i="2" s="1"/>
  <c r="E10" i="2"/>
  <c r="G10" i="2" s="1"/>
  <c r="D28" i="2"/>
  <c r="D32" i="2" s="1"/>
  <c r="C28" i="2"/>
  <c r="D21" i="2"/>
  <c r="E14" i="2"/>
  <c r="B32" i="2"/>
  <c r="D11" i="2"/>
  <c r="E16" i="2"/>
  <c r="E8" i="2"/>
  <c r="B29" i="2"/>
  <c r="C18" i="2"/>
  <c r="E18" i="2" s="1"/>
  <c r="G18" i="2" s="1"/>
  <c r="B31" i="2"/>
  <c r="C7" i="2"/>
  <c r="E7" i="2" s="1"/>
  <c r="B11" i="2"/>
  <c r="B21" i="2"/>
  <c r="E28" i="2" l="1"/>
  <c r="G28" i="2" s="1"/>
  <c r="C29" i="2"/>
  <c r="E24" i="2"/>
  <c r="D29" i="2"/>
  <c r="E31" i="2"/>
  <c r="E11" i="2"/>
  <c r="G7" i="2"/>
  <c r="E29" i="2"/>
  <c r="C21" i="2"/>
  <c r="C32" i="2"/>
  <c r="G8" i="2"/>
  <c r="E32" i="2"/>
  <c r="G14" i="2"/>
  <c r="E21" i="2"/>
  <c r="D33" i="2"/>
  <c r="C11" i="2"/>
  <c r="C31" i="2"/>
  <c r="B33" i="2"/>
  <c r="B34" i="2"/>
  <c r="C33" i="2" l="1"/>
  <c r="B84" i="2"/>
  <c r="C84" i="2" s="1"/>
  <c r="B66" i="2"/>
  <c r="E40" i="2"/>
  <c r="G11" i="2"/>
  <c r="E33" i="2"/>
  <c r="B67" i="2" s="1"/>
  <c r="E34" i="2" l="1"/>
  <c r="E41" i="2"/>
  <c r="B44" i="2" l="1"/>
  <c r="B45" i="2" l="1"/>
  <c r="C44" i="2"/>
  <c r="C45" i="2" s="1"/>
  <c r="C49" i="2" l="1"/>
  <c r="C47" i="2"/>
  <c r="D44" i="2"/>
  <c r="D45" i="2"/>
  <c r="B49" i="2"/>
  <c r="B47" i="2"/>
  <c r="D49" i="2" l="1"/>
  <c r="B48" i="2"/>
  <c r="F16" i="2"/>
  <c r="C48" i="2"/>
  <c r="F24" i="2"/>
  <c r="F19" i="2" l="1"/>
  <c r="F31" i="2"/>
  <c r="F21" i="2"/>
  <c r="G16" i="2"/>
  <c r="F27" i="2"/>
  <c r="G27" i="2" s="1"/>
  <c r="G24" i="2"/>
  <c r="G31" i="2" l="1"/>
  <c r="G29" i="2"/>
  <c r="F29" i="2"/>
  <c r="F32" i="2"/>
  <c r="F33" i="2" s="1"/>
  <c r="G19" i="2"/>
  <c r="G32" i="2" s="1"/>
  <c r="G33" i="2" l="1"/>
  <c r="G34" i="2" s="1"/>
  <c r="G21" i="2"/>
  <c r="B83" i="2" l="1"/>
  <c r="C83" i="2" s="1"/>
  <c r="B86" i="2"/>
  <c r="C86" i="2" s="1"/>
  <c r="B68" i="2"/>
  <c r="B55" i="2"/>
  <c r="E55" i="2"/>
</calcChain>
</file>

<file path=xl/sharedStrings.xml><?xml version="1.0" encoding="utf-8"?>
<sst xmlns="http://schemas.openxmlformats.org/spreadsheetml/2006/main" count="274" uniqueCount="218">
  <si>
    <t>Illustrative 80-bed residential aged care home</t>
  </si>
  <si>
    <t>Purpose</t>
  </si>
  <si>
    <t>A decision bridge showing the additional contribution required from higher everyday living fees and resident accommodation revenue when care funding grows more slowly than care costs. Not a budget, and not a forecast. Replace the proxy benchmark rates with facility data before relying on the output.</t>
  </si>
  <si>
    <t>Basis</t>
  </si>
  <si>
    <t>FY2025–26 proxy annualised from the StewartBrown Aged Care Financial Performance Survey, March 2026 year-to-date. Benchmark rates reconcile to the published operating result of $9.16 per resident day deficit. Confirm the published cohort (all homes vs mature homes) before external use.</t>
  </si>
  <si>
    <t>Prepared by</t>
  </si>
  <si>
    <t>Stephen Rooke, Director</t>
  </si>
  <si>
    <t>Pride Aged Living</t>
  </si>
  <si>
    <t>Take pride in your success</t>
  </si>
  <si>
    <t>AN-ACC funding and the contribution required from pricing</t>
  </si>
  <si>
    <t>80-bed pro forma. FY2025–26 proxy annualised from March 2026 YTD benchmarks; not published full-year actuals.</t>
  </si>
  <si>
    <t>AUD per year. Expenses are negative. Positive changes improve profit. Forecast: 1 July 2026–30 June 2027.</t>
  </si>
  <si>
    <t>Income and expenditure</t>
  </si>
  <si>
    <t>FY2025–26
proxy</t>
  </si>
  <si>
    <t>Government &amp;
award changes</t>
  </si>
  <si>
    <t>CPI pricing
&amp; other costs</t>
  </si>
  <si>
    <t>FY2026–27
projection</t>
  </si>
  <si>
    <t>Extra pricing
required</t>
  </si>
  <si>
    <t>FY2026–27
after action</t>
  </si>
  <si>
    <t>CARE</t>
  </si>
  <si>
    <t>Care revenue</t>
  </si>
  <si>
    <t>Care labour and on-costs</t>
  </si>
  <si>
    <t>Care non-labour costs</t>
  </si>
  <si>
    <t>Care administration</t>
  </si>
  <si>
    <t>Care margin</t>
  </si>
  <si>
    <t>EVERYDAY LIVING</t>
  </si>
  <si>
    <t>Basic daily fee</t>
  </si>
  <si>
    <t>Hotelling funding</t>
  </si>
  <si>
    <t>HELF / AS revenue</t>
  </si>
  <si>
    <t>Other everyday living revenue</t>
  </si>
  <si>
    <t>Everyday living labour</t>
  </si>
  <si>
    <t>Everyday living non-labour costs</t>
  </si>
  <si>
    <t>Everyday living administration</t>
  </si>
  <si>
    <t>Everyday living margin</t>
  </si>
  <si>
    <t>ACCOMMODATION</t>
  </si>
  <si>
    <t>Accommodation resident revenue</t>
  </si>
  <si>
    <t>Accommodation government revenue</t>
  </si>
  <si>
    <t>Depreciation</t>
  </si>
  <si>
    <t>Accommodation operating costs</t>
  </si>
  <si>
    <t>Accommodation administration</t>
  </si>
  <si>
    <t>Accommodation margin</t>
  </si>
  <si>
    <t>Total revenue</t>
  </si>
  <si>
    <t>Total operating costs</t>
  </si>
  <si>
    <t>NET OPERATING RESULT</t>
  </si>
  <si>
    <t>Operating margin (% of revenue)</t>
  </si>
  <si>
    <t>n.a.</t>
  </si>
  <si>
    <t>Other policy / wage adjustment</t>
  </si>
  <si>
    <t>Calculation of the additional pricing required</t>
  </si>
  <si>
    <t>Occupied resident days</t>
  </si>
  <si>
    <t>Target operating result</t>
  </si>
  <si>
    <t>In-year accommodation repricing exposure</t>
  </si>
  <si>
    <t>Extra net contribution</t>
  </si>
  <si>
    <t>Recovery calculation</t>
  </si>
  <si>
    <t>HELF / AS</t>
  </si>
  <si>
    <t>Accommodation</t>
  </si>
  <si>
    <t>Combined</t>
  </si>
  <si>
    <t>Net contribution allocated</t>
  </si>
  <si>
    <t>Additional revenue required</t>
  </si>
  <si>
    <t>Income exposed to additional pricing</t>
  </si>
  <si>
    <t>Additional price increase above CPI</t>
  </si>
  <si>
    <t>Total price increase including CPI</t>
  </si>
  <si>
    <t>Average extra income per occupied day</t>
  </si>
  <si>
    <t>Basic daily fee from September 2026</t>
  </si>
  <si>
    <t>AN-ACC effective annual uplift</t>
  </si>
  <si>
    <t>Basic daily fee from March 2027</t>
  </si>
  <si>
    <t>Accommodation subsidy weighted uplift</t>
  </si>
  <si>
    <t>FY2026–27 weighted basic daily fee</t>
  </si>
  <si>
    <t>DAP weighted statutory uplift</t>
  </si>
  <si>
    <t>Net operating result change after action</t>
  </si>
  <si>
    <t>Unrecovered shortfall</t>
  </si>
  <si>
    <t>Target 1 scales last year’s dollar result by CPI. With a negative baseline this preserves an inflation-adjusted loss; it is not a viability target. Select target 2 for a break-even floor.</t>
  </si>
  <si>
    <t>Accommodation price increases apply to the assumed new-admission income exposure. HELF/AS uptake is held constant. Required increases are mathematical targets, not evidence that customers will accept them.</t>
  </si>
  <si>
    <t>Column E includes pension/fee carry-forward against the YTD proxy. Column F includes CPI on non-wage costs as well as provider pricing. Depreciation is held flat. All model assumptions and references are on the supporting tabs.</t>
  </si>
  <si>
    <t>Operating result comparison</t>
  </si>
  <si>
    <t>Stage</t>
  </si>
  <si>
    <t>Operating result</t>
  </si>
  <si>
    <t>FY2025–26 proxy</t>
  </si>
  <si>
    <t>FY2026–27 projection</t>
  </si>
  <si>
    <t>After extra pricing</t>
  </si>
  <si>
    <t>Reconciliation checks</t>
  </si>
  <si>
    <t>Status</t>
  </si>
  <si>
    <t>P&amp;L adds to three margins</t>
  </si>
  <si>
    <t>Baseline rounding difference per day</t>
  </si>
  <si>
    <t>Pension day weights sum to year</t>
  </si>
  <si>
    <t>Target achieved (positive = excess)</t>
  </si>
  <si>
    <t>Allocation and cost-share inputs within range</t>
  </si>
  <si>
    <t>The $0.01 baseline daily difference is rounding in the published detail. A zero-income pricing base produces “n.a.” for the required rate and leaves the unachievable contribution in the shortfall.</t>
  </si>
  <si>
    <t>Assumptions and policy inputs</t>
  </si>
  <si>
    <t>Blue figures in amber cells are editable. Green figures link to the benchmark. Black figures are calculated.</t>
  </si>
  <si>
    <t>Driver</t>
  </si>
  <si>
    <t>Value</t>
  </si>
  <si>
    <t>Units / timing</t>
  </si>
  <si>
    <t>Basis and reference</t>
  </si>
  <si>
    <t>Available beds</t>
  </si>
  <si>
    <t>beds</t>
  </si>
  <si>
    <t>User specification.</t>
  </si>
  <si>
    <t>Average occupancy</t>
  </si>
  <si>
    <t>%</t>
  </si>
  <si>
    <t>Editable input, seeded from Benchmark tab D25 (95.2%). Confirm the published cohort (all homes vs mature homes) before relying on it. Replace with facility-specific occupancy.</t>
  </si>
  <si>
    <t>Days in financial year</t>
  </si>
  <si>
    <t>days</t>
  </si>
  <si>
    <t>Both modelled financial years contain 365 days.</t>
  </si>
  <si>
    <t>Annual CPI planning assumption</t>
  </si>
  <si>
    <t>Illustrative 3.5%; not a forecast or automatic legal pricing entitlement.</t>
  </si>
  <si>
    <t>AN-ACC price increase</t>
  </si>
  <si>
    <t>User specified rounded 2.55%. Published price: $295.64 to $303.19. https://www.health.gov.au/our-work/residential-aged-care/funding/about-funding-for-residential-aged-care</t>
  </si>
  <si>
    <t>Months of AN-ACC uplift</t>
  </si>
  <si>
    <t>months from 1 Oct 2026</t>
  </si>
  <si>
    <t>9/12 convention requested; no backdating to July.</t>
  </si>
  <si>
    <t>Care revenue exposed to AN-ACC</t>
  </si>
  <si>
    <t>Simplifying proxy: all care revenue. Reduce for supplements or revenue not linked to AN-ACC. Case mix and weights held constant.</t>
  </si>
  <si>
    <t>Award wage increase</t>
  </si>
  <si>
    <t>1 July 2026; first full pay period rule simplified to full year. https://www.fairwork.gov.au/newsroom/media-releases/2026-media-releases/july-2026/20260701-minimum-wage-increase-media-release</t>
  </si>
  <si>
    <t>Care labour exposed to wage increase</t>
  </si>
  <si>
    <t>Assumes all care labour/on-costs rise proportionally. Agency and enterprise agreement rates may differ.</t>
  </si>
  <si>
    <t>Labour share of hotel services costs</t>
  </si>
  <si>
    <t>Illustrative cost allocation. Replace with payroll/contract split; remainder receives CPI.</t>
  </si>
  <si>
    <t>Labour share of administration</t>
  </si>
  <si>
    <t>Illustrative across all three margins; remainder receives CPI.</t>
  </si>
  <si>
    <t>BDF at 1 July 2026</t>
  </si>
  <si>
    <t>$ / resident day</t>
  </si>
  <si>
    <t>Published 20 March 2026 rate. https://www.health.gov.au/our-work/residential-aged-care/charging/fees/scenarios2025</t>
  </si>
  <si>
    <t>Single basic pension from 20 Sep 2026</t>
  </si>
  <si>
    <t>$ / fortnight</t>
  </si>
  <si>
    <t>DVA rate used to derive indicative BDF; replace with final aged-care schedule. https://clik.dva.gov.au/node/86936</t>
  </si>
  <si>
    <t>BDF proportion of basic pension</t>
  </si>
  <si>
    <t>85% of single basic pension, divided by 14 for daily fee. https://www.myagedcare.gov.au/aged-care-home-costs-and-fees</t>
  </si>
  <si>
    <t>March 2027 pension indexation</t>
  </si>
  <si>
    <t>Unannounced. Assumed half annual CPI; change when published. Not a pension forecast.</t>
  </si>
  <si>
    <t>Days at opening BDF</t>
  </si>
  <si>
    <t>1 Jul–19 Sep 2026</t>
  </si>
  <si>
    <t>Daily weighting for pension-linked basic daily fee.</t>
  </si>
  <si>
    <t>Days at September BDF</t>
  </si>
  <si>
    <t>20 Sep 2026–19 Mar 2027</t>
  </si>
  <si>
    <t>Daily weighting.</t>
  </si>
  <si>
    <t>Days at March BDF</t>
  </si>
  <si>
    <t>20 Mar–30 Jun 2027</t>
  </si>
  <si>
    <t>FY2026–27 hotelling revenue per day</t>
  </si>
  <si>
    <t>Frozen current rate. Increase against proxy is prior-rate carry-forward, not a new uplift. https://ageingaustralia.asn.au/media-releases/residential-care-funding-falls-short/</t>
  </si>
  <si>
    <t>Accommodation subsidy indexation</t>
  </si>
  <si>
    <t>% annual assumption</t>
  </si>
  <si>
    <t>Illustrative CPI-equivalent applied half at September and March; verify relevant supplement rates.</t>
  </si>
  <si>
    <t>HELF/AS share of other resident income</t>
  </si>
  <si>
    <t>Assumes all $5.69 is price-sensitive HELF/AS. Replace if other income is included.</t>
  </si>
  <si>
    <t>HELF/AS in-year repricing exposure</t>
  </si>
  <si>
    <t>% of eligible income</t>
  </si>
  <si>
    <t>Full-year July implementation and full uptake assumed; alter for transition, contracts, cancellations or timing.</t>
  </si>
  <si>
    <t>Annual accommodation resident turnover</t>
  </si>
  <si>
    <t>Illustrative qualifying resident turnover; new prices affect admissions only.</t>
  </si>
  <si>
    <t>Average year remaining after admission</t>
  </si>
  <si>
    <t>Uniform admissions through the year: half-year income effect.</t>
  </si>
  <si>
    <t>Accommodation income eligible for repricing</t>
  </si>
  <si>
    <t>% of resident income</t>
  </si>
  <si>
    <t>Excludes government subsidy. Simplified proportionate DAP/retention response; no RAD principal or investment income.</t>
  </si>
  <si>
    <t>DAP share of resident accommodation income</t>
  </si>
  <si>
    <t>Illustrative split: balance represents retention/other resident accommodation revenue.</t>
  </si>
  <si>
    <t>DAP income exposed to statutory indexation</t>
  </si>
  <si>
    <t>% of DAP income</t>
  </si>
  <si>
    <t>Illustrative average eligible income share. Distinct from new-admission room repricing; replace with cohort data.</t>
  </si>
  <si>
    <t>Annual DAP indexation assumption</t>
  </si>
  <si>
    <t>Assumed half at each September/March indexation. Applies only to relevant new-arrangement DAPs. https://www.health.gov.au/our-work/residential-aged-care/charging/accommodation-payments-contributions</t>
  </si>
  <si>
    <t>Other policy / wage cost adjustment</t>
  </si>
  <si>
    <t>$ annual expense</t>
  </si>
  <si>
    <t>Positive amount is additional expense. Enter nurse tranches, prior-year carry-forward or other quantified costs; default excludes them.</t>
  </si>
  <si>
    <t>Recovery allocated to HELF/AS</t>
  </si>
  <si>
    <t>% of required net contribution</t>
  </si>
  <si>
    <t>Remaining share is allocated to accommodation. No unique solution; editable strategy choice.</t>
  </si>
  <si>
    <t>Incremental HELF delivery cost share</t>
  </si>
  <si>
    <t>% of extra HELF revenue</t>
  </si>
  <si>
    <t>Zero assumes pure price change with unchanged service cost. Increase for service enhancements.</t>
  </si>
  <si>
    <t>Incremental accommodation cost share</t>
  </si>
  <si>
    <t>% of extra accommodation revenue</t>
  </si>
  <si>
    <t>Zero assumes pure price change. Increase where extra service/property costs apply.</t>
  </si>
  <si>
    <t>Operating result target</t>
  </si>
  <si>
    <t>1 = prior result + CPI</t>
  </si>
  <si>
    <t>1 preserves the inflation-adjusted dollar result, including a loss. 2 sets a break-even minimum.</t>
  </si>
  <si>
    <t>Extra annual contribution for capital</t>
  </si>
  <si>
    <t>$ above result target</t>
  </si>
  <si>
    <t>Optional retained earnings requirement, not a capex expense or cash-flow forecast.</t>
  </si>
  <si>
    <t>A decision bridge, not a complete FY2026–27 budget: no occupancy/case-mix changes, new capex/depreciation, organic RAD-retention growth or investment earnings. Replace proxy rates and omitted adjustments before provider use.</t>
  </si>
  <si>
    <t>Published benchmark inputs</t>
  </si>
  <si>
    <t>StewartBrown March 2026 YTD, average for all homes. Rates are $ per occupied resident day; sample is not specific to 80-bed homes.</t>
  </si>
  <si>
    <t>Metric</t>
  </si>
  <si>
    <t>Mar-26 YTD</t>
  </si>
  <si>
    <t>Units</t>
  </si>
  <si>
    <t>Source / treatment</t>
  </si>
  <si>
    <t>Table 13, printed p24 (PDF p26).</t>
  </si>
  <si>
    <t>Direct care labour</t>
  </si>
  <si>
    <t>Table 13, printed p24.</t>
  </si>
  <si>
    <t>Other direct care labour</t>
  </si>
  <si>
    <t>Table 13; combined with direct care labour in P&amp;L.</t>
  </si>
  <si>
    <t>Basic daily fee revenue</t>
  </si>
  <si>
    <t>Table 18, printed p28 (PDF p30).</t>
  </si>
  <si>
    <t>Table 18, printed p28.</t>
  </si>
  <si>
    <t>Other everyday living resident income</t>
  </si>
  <si>
    <t>Table 18. HELF/AS proportion is a separate modelling assumption.</t>
  </si>
  <si>
    <t>Reported everyday living revenue</t>
  </si>
  <si>
    <t>Table 13. Components in Table 18 differ by $0.01 due to rounding.</t>
  </si>
  <si>
    <t>Hotel services costs</t>
  </si>
  <si>
    <t>Table 18. Labour/non-labour allocation is assumed, not supplied by this table.</t>
  </si>
  <si>
    <t>Utilities</t>
  </si>
  <si>
    <t>Table 13 / Table 18.</t>
  </si>
  <si>
    <t>Table 13. DAP/retention split is assumed; excludes interest/investment income.</t>
  </si>
  <si>
    <t>Property maintenance</t>
  </si>
  <si>
    <t>Table 13 summary; Table 19 uses a different detail grouping.</t>
  </si>
  <si>
    <t>Property rental</t>
  </si>
  <si>
    <t>Other accommodation costs</t>
  </si>
  <si>
    <t>Occupancy</t>
  </si>
  <si>
    <t>Table 13 dashboard / Figure 31.</t>
  </si>
  <si>
    <t>Reported operating result</t>
  </si>
  <si>
    <t>Table 13. Calculated detail differs by $0.01 per day from published total.</t>
  </si>
  <si>
    <t>Source: https://www.stewartbrown.com.au/images/documents/StewartBrown_-_Aged_Care_Financial_Performance_Survey_Report_March_2026_-_Residential_Aged_Care.pdf</t>
  </si>
  <si>
    <t>Proxy method: multiply the latest YTD daily rates by occupied days for an 80-bed home. No estimate of the missing June quarter is presented as actual data.</t>
  </si>
  <si>
    <t>Operating result includes depreciation, excludes financing interest, investment income and non-recurrent items, consistent with the benchmark. RAD principal is a liability, not revenue.</t>
  </si>
  <si>
    <t>Repricing affects resident accommodation income only. Additional RAD investment returns and changes in debt interest require a separate capital/cash-flow model.</t>
  </si>
  <si>
    <t>stephen.rooke@prideagedliving.com.au</t>
  </si>
  <si>
    <t>September 2026    Version 1.0</t>
  </si>
  <si>
    <t>Pro Forma Three-Margin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</si>
</sst>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;\(#,##0\);&quot;–&quot;"/>
    <numFmt numFmtId="165" formatCode="\$#,##0;\(\$#,##0\);&quot;–&quot;"/>
    <numFmt numFmtId="166" formatCode="0.0%;\(0.0%\);&quot;–&quot;"/>
    <numFmt numFmtId="167" formatCode="\$0.00"/>
    <numFmt numFmtId="168" formatCode="0.00;\(0.00\);0.00"/>
    <numFmt numFmtId="169" formatCode="0.00;\(0.00\);&quot;–&quot;"/>
    <numFmt numFmtId="170" formatCode="0.0%"/>
    <numFmt numFmtId="171" formatCode="_(* #,##0.00_);\(#,##0.00\);_(* &quot;-&quot;??_);_(@_)"/>
  </numFmts>
  <fonts count="2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Carlito"/>
    </font>
    <font>
      <sz val="32"/>
      <color rgb="FFFFFFFF"/>
      <name val="Georgia"/>
      <family val="1"/>
    </font>
    <font>
      <b/>
      <sz val="15"/>
      <color rgb="FFFFFFFF"/>
      <name val="Arial"/>
      <family val="2"/>
    </font>
    <font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9"/>
      <color rgb="FF4D4D4F"/>
      <name val="Arial"/>
      <family val="2"/>
    </font>
    <font>
      <b/>
      <sz val="16"/>
      <color rgb="FF16242B"/>
      <name val="Arial"/>
      <family val="2"/>
    </font>
    <font>
      <sz val="10"/>
      <color rgb="FF16242B"/>
      <name val="Arial"/>
      <family val="2"/>
    </font>
    <font>
      <sz val="10"/>
      <color rgb="FF52616B"/>
      <name val="Arial"/>
      <family val="2"/>
    </font>
    <font>
      <b/>
      <sz val="10"/>
      <color rgb="FF16242B"/>
      <name val="Arial"/>
      <family val="2"/>
    </font>
    <font>
      <i/>
      <sz val="10"/>
      <color rgb="FF16242B"/>
      <name val="Arial"/>
      <family val="2"/>
    </font>
    <font>
      <b/>
      <sz val="11"/>
      <color rgb="FF005D5D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  <scheme val="minor"/>
    </font>
    <font>
      <sz val="32"/>
      <color theme="0"/>
      <name val="Georgia"/>
      <family val="1"/>
      <scheme val="major"/>
    </font>
    <font>
      <b/>
      <sz val="15"/>
      <color theme="0"/>
      <name val="Arial"/>
      <family val="2"/>
      <scheme val="minor"/>
    </font>
    <font>
      <b/>
      <sz val="11"/>
      <color theme="4"/>
      <name val="Arial"/>
      <family val="2"/>
    </font>
    <font>
      <b/>
      <sz val="11"/>
      <color theme="5"/>
      <name val="Fields"/>
      <family val="3"/>
    </font>
    <font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005D5D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8F5F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91A3AE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</borders>
  <cellStyleXfs count="15">
    <xf numFmtId="0" fontId="0" fillId="0" borderId="0"/>
    <xf numFmtId="0" fontId="2" fillId="0" borderId="1" applyNumberFormat="0" applyFill="0" applyAlignment="0" applyProtection="0"/>
    <xf numFmtId="0" fontId="3" fillId="2" borderId="2" applyNumberFormat="0" applyAlignment="0" applyProtection="0"/>
    <xf numFmtId="0" fontId="4" fillId="3" borderId="3" applyNumberFormat="0" applyAlignment="0" applyProtection="0"/>
    <xf numFmtId="0" fontId="7" fillId="0" borderId="0"/>
    <xf numFmtId="0" fontId="8" fillId="4" borderId="0">
      <alignment vertical="center" wrapText="1"/>
    </xf>
    <xf numFmtId="0" fontId="9" fillId="4" borderId="0">
      <alignment vertical="center" wrapText="1"/>
    </xf>
    <xf numFmtId="0" fontId="11" fillId="0" borderId="0"/>
    <xf numFmtId="171" fontId="5" fillId="5" borderId="5" applyNumberFormat="0">
      <alignment vertical="center"/>
    </xf>
    <xf numFmtId="0" fontId="21" fillId="0" borderId="0" applyNumberFormat="0" applyFill="0" applyBorder="0" applyAlignment="0" applyProtection="0"/>
    <xf numFmtId="171" fontId="5" fillId="6" borderId="6" applyNumberFormat="0">
      <alignment vertical="center"/>
    </xf>
    <xf numFmtId="0" fontId="22" fillId="6" borderId="7" applyBorder="0">
      <alignment horizontal="left" wrapText="1"/>
    </xf>
    <xf numFmtId="0" fontId="23" fillId="6" borderId="7" applyBorder="0">
      <alignment horizontal="left" vertical="top" wrapText="1"/>
    </xf>
    <xf numFmtId="0" fontId="6" fillId="0" borderId="0">
      <alignment vertical="center"/>
    </xf>
    <xf numFmtId="0" fontId="1" fillId="7" borderId="0" applyNumberFormat="0" applyAlignment="0"/>
  </cellStyleXfs>
  <cellXfs count="51">
    <xf numFmtId="0" fontId="0" fillId="0" borderId="0" xfId="0"/>
    <xf numFmtId="0" fontId="7" fillId="0" borderId="0" xfId="4"/>
    <xf numFmtId="0" fontId="11" fillId="0" borderId="0" xfId="4" applyFont="1"/>
    <xf numFmtId="0" fontId="12" fillId="0" borderId="0" xfId="4" applyFont="1"/>
    <xf numFmtId="0" fontId="13" fillId="0" borderId="0" xfId="4" applyFont="1"/>
    <xf numFmtId="0" fontId="14" fillId="0" borderId="0" xfId="4" applyFont="1" applyAlignment="1">
      <alignment vertical="center"/>
    </xf>
    <xf numFmtId="0" fontId="15" fillId="0" borderId="0" xfId="4" applyFont="1"/>
    <xf numFmtId="0" fontId="15" fillId="0" borderId="0" xfId="4" applyFont="1" applyAlignment="1">
      <alignment vertical="center"/>
    </xf>
    <xf numFmtId="164" fontId="15" fillId="0" borderId="0" xfId="4" applyNumberFormat="1" applyFont="1" applyAlignment="1">
      <alignment horizontal="right" vertical="center"/>
    </xf>
    <xf numFmtId="0" fontId="17" fillId="0" borderId="4" xfId="4" applyFont="1" applyBorder="1" applyAlignment="1">
      <alignment vertical="center"/>
    </xf>
    <xf numFmtId="164" fontId="17" fillId="0" borderId="4" xfId="4" applyNumberFormat="1" applyFont="1" applyBorder="1" applyAlignment="1">
      <alignment horizontal="right" vertical="center"/>
    </xf>
    <xf numFmtId="0" fontId="18" fillId="0" borderId="0" xfId="4" applyFont="1" applyAlignment="1">
      <alignment vertical="center"/>
    </xf>
    <xf numFmtId="166" fontId="18" fillId="0" borderId="0" xfId="4" applyNumberFormat="1" applyFont="1" applyAlignment="1">
      <alignment horizontal="right" vertical="center"/>
    </xf>
    <xf numFmtId="0" fontId="15" fillId="0" borderId="0" xfId="4" applyFont="1" applyAlignment="1">
      <alignment horizontal="right" vertical="center"/>
    </xf>
    <xf numFmtId="3" fontId="15" fillId="0" borderId="0" xfId="4" applyNumberFormat="1" applyFont="1" applyAlignment="1">
      <alignment horizontal="right" vertical="center"/>
    </xf>
    <xf numFmtId="0" fontId="15" fillId="0" borderId="0" xfId="4" applyFont="1" applyAlignment="1">
      <alignment horizontal="left" vertical="center" wrapText="1"/>
    </xf>
    <xf numFmtId="165" fontId="15" fillId="0" borderId="0" xfId="4" applyNumberFormat="1" applyFont="1" applyAlignment="1">
      <alignment horizontal="right" vertical="center"/>
    </xf>
    <xf numFmtId="166" fontId="15" fillId="0" borderId="0" xfId="4" applyNumberFormat="1" applyFont="1" applyAlignment="1">
      <alignment horizontal="right" vertical="center"/>
    </xf>
    <xf numFmtId="0" fontId="15" fillId="0" borderId="0" xfId="4" applyFont="1" applyAlignment="1">
      <alignment horizontal="left" vertical="center"/>
    </xf>
    <xf numFmtId="167" fontId="15" fillId="0" borderId="0" xfId="4" applyNumberFormat="1" applyFont="1" applyAlignment="1">
      <alignment horizontal="right" vertical="center"/>
    </xf>
    <xf numFmtId="10" fontId="15" fillId="0" borderId="0" xfId="4" applyNumberFormat="1" applyFont="1" applyAlignment="1">
      <alignment horizontal="right" vertical="center"/>
    </xf>
    <xf numFmtId="168" fontId="15" fillId="0" borderId="0" xfId="4" applyNumberFormat="1" applyFont="1" applyAlignment="1">
      <alignment horizontal="right" vertical="center"/>
    </xf>
    <xf numFmtId="0" fontId="20" fillId="0" borderId="0" xfId="4" applyFont="1" applyAlignment="1">
      <alignment horizontal="center"/>
    </xf>
    <xf numFmtId="1" fontId="3" fillId="2" borderId="2" xfId="2" applyNumberFormat="1" applyAlignment="1" applyProtection="1">
      <alignment horizontal="right" vertical="center"/>
      <protection locked="0"/>
    </xf>
    <xf numFmtId="166" fontId="3" fillId="2" borderId="2" xfId="2" applyNumberFormat="1" applyAlignment="1" applyProtection="1">
      <alignment horizontal="right" vertical="center"/>
      <protection locked="0"/>
    </xf>
    <xf numFmtId="10" fontId="3" fillId="2" borderId="2" xfId="2" applyNumberFormat="1" applyAlignment="1" applyProtection="1">
      <alignment horizontal="right" vertical="center"/>
      <protection locked="0"/>
    </xf>
    <xf numFmtId="169" fontId="3" fillId="2" borderId="2" xfId="2" applyNumberFormat="1" applyAlignment="1" applyProtection="1">
      <alignment horizontal="right" vertical="center"/>
      <protection locked="0"/>
    </xf>
    <xf numFmtId="10" fontId="4" fillId="3" borderId="3" xfId="3" applyNumberFormat="1" applyAlignment="1" applyProtection="1">
      <alignment horizontal="right" vertical="center"/>
      <protection locked="0"/>
    </xf>
    <xf numFmtId="166" fontId="4" fillId="3" borderId="3" xfId="3" applyNumberFormat="1" applyAlignment="1" applyProtection="1">
      <alignment horizontal="right" vertical="center"/>
    </xf>
    <xf numFmtId="165" fontId="3" fillId="2" borderId="2" xfId="2" applyNumberFormat="1" applyAlignment="1" applyProtection="1">
      <alignment horizontal="right" vertical="center"/>
      <protection locked="0"/>
    </xf>
    <xf numFmtId="170" fontId="3" fillId="2" borderId="2" xfId="2" applyNumberFormat="1" applyAlignment="1" applyProtection="1">
      <alignment horizontal="right" vertical="center"/>
      <protection locked="0"/>
    </xf>
    <xf numFmtId="0" fontId="5" fillId="5" borderId="5" xfId="8" applyNumberFormat="1">
      <alignment vertical="center"/>
    </xf>
    <xf numFmtId="0" fontId="2" fillId="0" borderId="0" xfId="1" applyBorder="1" applyAlignment="1">
      <alignment vertical="center"/>
    </xf>
    <xf numFmtId="0" fontId="21" fillId="0" borderId="0" xfId="9"/>
    <xf numFmtId="0" fontId="7" fillId="5" borderId="0" xfId="4" applyFill="1"/>
    <xf numFmtId="0" fontId="24" fillId="0" borderId="0" xfId="7" applyFont="1"/>
    <xf numFmtId="0" fontId="25" fillId="0" borderId="0" xfId="4" applyFont="1"/>
    <xf numFmtId="0" fontId="5" fillId="6" borderId="6" xfId="10" applyNumberFormat="1">
      <alignment vertical="center"/>
    </xf>
    <xf numFmtId="0" fontId="5" fillId="6" borderId="6" xfId="10" applyNumberFormat="1" applyAlignment="1">
      <alignment vertical="center" wrapText="1"/>
    </xf>
    <xf numFmtId="164" fontId="26" fillId="7" borderId="0" xfId="14" applyNumberFormat="1" applyFont="1" applyAlignment="1">
      <alignment horizontal="right" vertical="center"/>
    </xf>
    <xf numFmtId="164" fontId="1" fillId="7" borderId="0" xfId="14" applyNumberFormat="1" applyAlignment="1">
      <alignment horizontal="right" vertical="center"/>
    </xf>
    <xf numFmtId="166" fontId="26" fillId="7" borderId="0" xfId="14" applyNumberFormat="1" applyFont="1" applyAlignment="1">
      <alignment horizontal="right" vertical="center"/>
    </xf>
    <xf numFmtId="0" fontId="1" fillId="7" borderId="0" xfId="14" applyAlignment="1">
      <alignment horizontal="right" vertical="center"/>
    </xf>
    <xf numFmtId="0" fontId="19" fillId="0" borderId="0" xfId="4" applyFont="1" applyAlignment="1">
      <alignment horizontal="center" vertical="center"/>
    </xf>
    <xf numFmtId="0" fontId="8" fillId="5" borderId="0" xfId="5" applyFill="1">
      <alignment vertical="center" wrapText="1"/>
    </xf>
    <xf numFmtId="0" fontId="7" fillId="5" borderId="0" xfId="4" applyFill="1"/>
    <xf numFmtId="0" fontId="9" fillId="5" borderId="0" xfId="6" applyFill="1">
      <alignment vertical="center" wrapText="1"/>
    </xf>
    <xf numFmtId="0" fontId="10" fillId="5" borderId="0" xfId="4" applyFont="1" applyFill="1" applyAlignment="1">
      <alignment vertical="center"/>
    </xf>
    <xf numFmtId="0" fontId="12" fillId="0" borderId="0" xfId="4" applyFont="1" applyAlignment="1">
      <alignment vertical="top" wrapText="1"/>
    </xf>
    <xf numFmtId="0" fontId="7" fillId="0" borderId="0" xfId="4"/>
    <xf numFmtId="0" fontId="16" fillId="0" borderId="0" xfId="4" applyFont="1" applyAlignment="1">
      <alignment vertical="center" wrapText="1"/>
    </xf>
  </cellXfs>
  <cellStyles count="15">
    <cellStyle name="1 Forest Table Heading" xfId="10" xr:uid="{6A82CD32-2FC7-4C65-A6D4-569A85B70962}"/>
    <cellStyle name="1 Teal Table Heading" xfId="8" xr:uid="{442EA59B-6B09-439E-B184-01B6C358CF2A}"/>
    <cellStyle name="3 Caption" xfId="13" xr:uid="{9CA71E59-65CE-438E-83B6-4EC67706C9EC}"/>
    <cellStyle name="3 Caption 3" xfId="7" xr:uid="{9FF3643B-342B-4A11-A214-2824D238EE40}"/>
    <cellStyle name="4 Light Mint" xfId="14" xr:uid="{3C9A8930-E842-4A79-92B6-105B50879859}"/>
    <cellStyle name="5 Cover Subheading" xfId="12" xr:uid="{E0FBA2BB-28CB-4D63-9409-296C2E33E0B1}"/>
    <cellStyle name="5 Cover Subheading 3" xfId="6" xr:uid="{57F4E7D9-BE9A-4688-8261-0728B41A8596}"/>
    <cellStyle name="5 Cover Title" xfId="11" xr:uid="{26E7A6A2-F9DC-4EA1-8E10-F50B635855D1}"/>
    <cellStyle name="5 Cover Title 3" xfId="5" xr:uid="{6027677C-4D2E-418D-99F1-ED91938F1B00}"/>
    <cellStyle name="Heading 2" xfId="1" builtinId="17"/>
    <cellStyle name="Hyperlink" xfId="9" builtinId="8"/>
    <cellStyle name="Input" xfId="2" builtinId="20"/>
    <cellStyle name="Normal" xfId="0" builtinId="0"/>
    <cellStyle name="Normal 2" xfId="4" xr:uid="{94C32E84-3350-43FD-946B-43AE20AE38FF}"/>
    <cellStyle name="Output" xfId="3" builtinId="21"/>
  </cellStyles>
  <dxfs count="6"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723843"/>
      </font>
      <fill>
        <patternFill patternType="solid">
          <fgColor rgb="FFECCBD0"/>
          <bgColor rgb="FFECCBD0"/>
        </patternFill>
      </fill>
    </dxf>
    <dxf>
      <font>
        <b/>
        <color rgb="FF009084"/>
      </font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AU" sz="975">
                <a:latin typeface="Arial"/>
                <a:ea typeface="Arial"/>
                <a:cs typeface="Arial"/>
              </a:rPr>
              <a:t>Operating result (AUD)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Operating result</c:v>
          </c:tx>
          <c:spPr>
            <a:solidFill>
              <a:srgbClr val="18364B"/>
            </a:solidFill>
            <a:ln>
              <a:prstDash val="solid"/>
            </a:ln>
          </c:spPr>
          <c:invertIfNegative val="1"/>
          <c:cat>
            <c:strRef>
              <c:f>'Three-margin P&amp;L'!$A$66:$A$68</c:f>
              <c:strCache>
                <c:ptCount val="3"/>
                <c:pt idx="0">
                  <c:v>FY2025–26 proxy</c:v>
                </c:pt>
                <c:pt idx="1">
                  <c:v>FY2026–27 projection</c:v>
                </c:pt>
                <c:pt idx="2">
                  <c:v>After extra pricing</c:v>
                </c:pt>
              </c:strCache>
            </c:strRef>
          </c:cat>
          <c:val>
            <c:numRef>
              <c:f>'Three-margin P&amp;L'!$B$66:$B$68</c:f>
              <c:numCache>
                <c:formatCode>\$#,##0;\(\$#,##0\);"–"</c:formatCode>
                <c:ptCount val="3"/>
                <c:pt idx="0">
                  <c:v>-254911.32799999975</c:v>
                </c:pt>
                <c:pt idx="1">
                  <c:v>-447848.92338328809</c:v>
                </c:pt>
                <c:pt idx="2">
                  <c:v>-263833.22447999939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86A-49AB-A188-2C4F4B59E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0,&quot;k&quot;;\(\$0,&quot;k&quot;\)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508176</xdr:colOff>
      <xdr:row>1</xdr:row>
      <xdr:rowOff>110490</xdr:rowOff>
    </xdr:from>
    <xdr:ext cx="1263474" cy="71818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E4E847-F0B1-4BA4-905E-76B014DAEB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99276" y="291465"/>
          <a:ext cx="1263474" cy="71818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63</xdr:row>
      <xdr:rowOff>161925</xdr:rowOff>
    </xdr:from>
    <xdr:to>
      <xdr:col>6</xdr:col>
      <xdr:colOff>1095375</xdr:colOff>
      <xdr:row>78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2D08AD-A82F-4712-84D6-01EB227792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eme1">
  <a:themeElements>
    <a:clrScheme name="PAL">
      <a:dk1>
        <a:sysClr val="windowText" lastClr="000000"/>
      </a:dk1>
      <a:lt1>
        <a:sysClr val="window" lastClr="FFFFFF"/>
      </a:lt1>
      <a:dk2>
        <a:srgbClr val="005D5D"/>
      </a:dk2>
      <a:lt2>
        <a:srgbClr val="E8F5F3"/>
      </a:lt2>
      <a:accent1>
        <a:srgbClr val="009084"/>
      </a:accent1>
      <a:accent2>
        <a:srgbClr val="2BBBAD"/>
      </a:accent2>
      <a:accent3>
        <a:srgbClr val="C7C288"/>
      </a:accent3>
      <a:accent4>
        <a:srgbClr val="005D5D"/>
      </a:accent4>
      <a:accent5>
        <a:srgbClr val="99D6D2"/>
      </a:accent5>
      <a:accent6>
        <a:srgbClr val="9B8F56"/>
      </a:accent6>
      <a:hlink>
        <a:srgbClr val="009084"/>
      </a:hlink>
      <a:folHlink>
        <a:srgbClr val="009084"/>
      </a:folHlink>
    </a:clrScheme>
    <a:fontScheme name="Pride Aged Living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Teal (primary)">
      <a:srgbClr val="009084"/>
    </a:custClr>
    <a:custClr name="Aqua (primary)">
      <a:srgbClr val="2BBBAD"/>
    </a:custClr>
    <a:custClr name="Gold (primary)">
      <a:srgbClr val="C7C288"/>
    </a:custClr>
    <a:custClr name="Forest (secondary)">
      <a:srgbClr val="005D5D"/>
    </a:custClr>
    <a:custClr name="Mint (secondary)">
      <a:srgbClr val="99D6D2"/>
    </a:custClr>
    <a:custClr name="Dark Gold (secondary)">
      <a:srgbClr val="9B8F56"/>
    </a:custClr>
    <a:custClr name="Light Mint (secondary background)">
      <a:srgbClr val="E8F5F3"/>
    </a:custClr>
    <a:custClr name="Light Gold (secondary)">
      <a:srgbClr val="E0DBBC"/>
    </a:custClr>
    <a:custClr name="Maroon">
      <a:srgbClr val="723843"/>
    </a:custClr>
    <a:custClr name="Musk">
      <a:srgbClr val="BD858C"/>
    </a:custClr>
    <a:custClr name="Blush">
      <a:srgbClr val="ECCBD0"/>
    </a:custClr>
  </a:custClrLst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phen.rooke@prideagedliving.com.a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FF24-D1C8-4618-9FD2-ADA3B1F00B0C}">
  <sheetPr>
    <tabColor rgb="FF009084"/>
    <pageSetUpPr fitToPage="1"/>
  </sheetPr>
  <dimension ref="A8:H34"/>
  <sheetViews>
    <sheetView showGridLines="0" tabSelected="1" workbookViewId="0">
      <selection activeCell="J17" sqref="J17"/>
    </sheetView>
  </sheetViews>
  <sheetFormatPr defaultRowHeight="14.25"/>
  <cols>
    <col min="1" max="1" width="4.5" style="1" customWidth="1"/>
    <col min="2" max="2" width="28" style="1" customWidth="1"/>
    <col min="3" max="7" width="11" style="1" customWidth="1"/>
    <col min="8" max="8" width="2" style="1" customWidth="1"/>
    <col min="9" max="16384" width="9" style="1"/>
  </cols>
  <sheetData>
    <row r="8" spans="1:8" ht="26.1" customHeight="1">
      <c r="A8" s="34"/>
      <c r="B8" s="34"/>
      <c r="C8" s="34"/>
      <c r="D8" s="34"/>
      <c r="E8" s="34"/>
      <c r="F8" s="34"/>
      <c r="G8" s="34"/>
      <c r="H8" s="34"/>
    </row>
    <row r="9" spans="1:8" ht="33.950000000000003" customHeight="1">
      <c r="A9" s="34"/>
      <c r="B9" s="44" t="s">
        <v>217</v>
      </c>
      <c r="C9" s="45"/>
      <c r="D9" s="45"/>
      <c r="E9" s="45"/>
      <c r="F9" s="45"/>
      <c r="G9" s="45"/>
      <c r="H9" s="45"/>
    </row>
    <row r="10" spans="1:8" ht="33.950000000000003" customHeight="1">
      <c r="A10" s="34"/>
      <c r="B10" s="45"/>
      <c r="C10" s="45"/>
      <c r="D10" s="45"/>
      <c r="E10" s="45"/>
      <c r="F10" s="45"/>
      <c r="G10" s="45"/>
      <c r="H10" s="45"/>
    </row>
    <row r="11" spans="1:8" ht="26.1" customHeight="1">
      <c r="A11" s="34"/>
      <c r="B11" s="34"/>
      <c r="C11" s="34"/>
      <c r="D11" s="34"/>
      <c r="E11" s="34"/>
      <c r="F11" s="34"/>
      <c r="G11" s="34"/>
      <c r="H11" s="34"/>
    </row>
    <row r="12" spans="1:8" ht="26.1" customHeight="1">
      <c r="A12" s="34"/>
      <c r="B12" s="46" t="s">
        <v>0</v>
      </c>
      <c r="C12" s="45"/>
      <c r="D12" s="45"/>
      <c r="E12" s="45"/>
      <c r="F12" s="45"/>
      <c r="G12" s="45"/>
      <c r="H12" s="45"/>
    </row>
    <row r="13" spans="1:8" ht="26.1" customHeight="1">
      <c r="A13" s="34"/>
      <c r="B13" s="34"/>
      <c r="C13" s="34"/>
      <c r="D13" s="34"/>
      <c r="E13" s="34"/>
      <c r="F13" s="34"/>
      <c r="G13" s="34"/>
      <c r="H13" s="34"/>
    </row>
    <row r="14" spans="1:8" ht="26.1" customHeight="1">
      <c r="A14" s="34"/>
      <c r="B14" s="47" t="s">
        <v>216</v>
      </c>
      <c r="C14" s="45"/>
      <c r="D14" s="45"/>
      <c r="E14" s="45"/>
      <c r="F14" s="45"/>
      <c r="G14" s="45"/>
      <c r="H14" s="45"/>
    </row>
    <row r="15" spans="1:8" ht="26.1" customHeight="1">
      <c r="A15" s="34"/>
      <c r="B15" s="34"/>
      <c r="C15" s="34"/>
      <c r="D15" s="34"/>
      <c r="E15" s="34"/>
      <c r="F15" s="34"/>
      <c r="G15" s="34"/>
      <c r="H15" s="34"/>
    </row>
    <row r="18" spans="2:8" ht="15">
      <c r="B18" s="35" t="s">
        <v>1</v>
      </c>
    </row>
    <row r="19" spans="2:8" ht="20.100000000000001" customHeight="1">
      <c r="B19" s="48" t="s">
        <v>2</v>
      </c>
      <c r="C19" s="49"/>
      <c r="D19" s="49"/>
      <c r="E19" s="49"/>
      <c r="F19" s="49"/>
      <c r="G19" s="49"/>
      <c r="H19" s="49"/>
    </row>
    <row r="20" spans="2:8" ht="20.100000000000001" customHeight="1">
      <c r="B20" s="49"/>
      <c r="C20" s="49"/>
      <c r="D20" s="49"/>
      <c r="E20" s="49"/>
      <c r="F20" s="49"/>
      <c r="G20" s="49"/>
      <c r="H20" s="49"/>
    </row>
    <row r="21" spans="2:8" ht="20.100000000000001" customHeight="1">
      <c r="B21" s="49"/>
      <c r="C21" s="49"/>
      <c r="D21" s="49"/>
      <c r="E21" s="49"/>
      <c r="F21" s="49"/>
      <c r="G21" s="49"/>
      <c r="H21" s="49"/>
    </row>
    <row r="23" spans="2:8" ht="15">
      <c r="B23" s="35" t="s">
        <v>3</v>
      </c>
    </row>
    <row r="24" spans="2:8" ht="20.100000000000001" customHeight="1">
      <c r="B24" s="48" t="s">
        <v>4</v>
      </c>
      <c r="C24" s="49"/>
      <c r="D24" s="49"/>
      <c r="E24" s="49"/>
      <c r="F24" s="49"/>
      <c r="G24" s="49"/>
      <c r="H24" s="49"/>
    </row>
    <row r="25" spans="2:8" ht="20.100000000000001" customHeight="1">
      <c r="B25" s="49"/>
      <c r="C25" s="49"/>
      <c r="D25" s="49"/>
      <c r="E25" s="49"/>
      <c r="F25" s="49"/>
      <c r="G25" s="49"/>
      <c r="H25" s="49"/>
    </row>
    <row r="26" spans="2:8" ht="20.100000000000001" customHeight="1">
      <c r="B26" s="49"/>
      <c r="C26" s="49"/>
      <c r="D26" s="49"/>
      <c r="E26" s="49"/>
      <c r="F26" s="49"/>
      <c r="G26" s="49"/>
      <c r="H26" s="49"/>
    </row>
    <row r="28" spans="2:8" ht="15">
      <c r="B28" s="35" t="s">
        <v>5</v>
      </c>
    </row>
    <row r="29" spans="2:8" ht="15">
      <c r="B29" s="2" t="s">
        <v>6</v>
      </c>
      <c r="C29" s="33" t="s">
        <v>215</v>
      </c>
    </row>
    <row r="30" spans="2:8">
      <c r="B30" s="3" t="s">
        <v>7</v>
      </c>
    </row>
    <row r="33" spans="2:2" ht="15.75">
      <c r="B33" s="36" t="s">
        <v>8</v>
      </c>
    </row>
    <row r="34" spans="2:2">
      <c r="B34" s="4"/>
    </row>
  </sheetData>
  <sheetProtection algorithmName="SHA-512" hashValue="z5fWrfiSvb6IReH+/0LZ7tVzecaYnMX0tZiQhRSo2sSGxrOU021IXF5Da4xQDq4bYRG2d8V9i3UVDeN5xxhVqw==" saltValue="YB6lX6f38Wf9EMAeO5dCdQ==" spinCount="100000" sheet="1" objects="1" scenarios="1"/>
  <mergeCells count="5">
    <mergeCell ref="B9:H10"/>
    <mergeCell ref="B12:H12"/>
    <mergeCell ref="B14:H14"/>
    <mergeCell ref="B19:H21"/>
    <mergeCell ref="B24:H26"/>
  </mergeCells>
  <hyperlinks>
    <hyperlink ref="C29" r:id="rId1" xr:uid="{3745527E-AA34-4298-BB18-36A13BA0CDE5}"/>
  </hyperlinks>
  <pageMargins left="0.74803149606299213" right="0.74803149606299213" top="0.98425196850393704" bottom="0.98425196850393704" header="0.51181102362204722" footer="0.51181102362204722"/>
  <pageSetup paperSize="9" scale="93" orientation="portrait" r:id="rId2"/>
  <headerFooter>
    <oddFooter>&amp;RPage &amp;P of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558E2-FFBE-4CF1-BF7B-37733A83F58F}">
  <sheetPr>
    <tabColor rgb="FF009084"/>
    <pageSetUpPr fitToPage="1"/>
  </sheetPr>
  <dimension ref="A1:I98"/>
  <sheetViews>
    <sheetView showGridLines="0" zoomScaleNormal="100" workbookViewId="0">
      <pane ySplit="5" topLeftCell="A76" activePane="bottomLeft" state="frozen"/>
      <selection activeCell="I25" sqref="I25"/>
      <selection pane="bottomLeft" activeCell="C84" sqref="C84"/>
    </sheetView>
  </sheetViews>
  <sheetFormatPr defaultRowHeight="14.25"/>
  <cols>
    <col min="1" max="1" width="44" style="1" customWidth="1"/>
    <col min="2" max="7" width="17" style="1" customWidth="1"/>
    <col min="8" max="16384" width="9" style="1"/>
  </cols>
  <sheetData>
    <row r="1" spans="1:9" ht="21" customHeight="1">
      <c r="A1" s="32" t="s">
        <v>9</v>
      </c>
      <c r="B1" s="5"/>
      <c r="C1" s="5"/>
      <c r="D1" s="5"/>
      <c r="E1" s="5"/>
      <c r="F1" s="5"/>
      <c r="G1" s="5"/>
      <c r="H1" s="6"/>
      <c r="I1" s="6"/>
    </row>
    <row r="2" spans="1:9" ht="14.25" customHeight="1">
      <c r="A2" s="50" t="s">
        <v>10</v>
      </c>
      <c r="B2" s="49"/>
      <c r="C2" s="49"/>
      <c r="D2" s="49"/>
      <c r="E2" s="49"/>
      <c r="F2" s="49"/>
      <c r="G2" s="49"/>
      <c r="H2" s="6"/>
      <c r="I2" s="6"/>
    </row>
    <row r="3" spans="1:9" ht="14.25" customHeight="1">
      <c r="A3" s="50" t="s">
        <v>11</v>
      </c>
      <c r="B3" s="49"/>
      <c r="C3" s="49"/>
      <c r="D3" s="49"/>
      <c r="E3" s="49"/>
      <c r="F3" s="49"/>
      <c r="G3" s="49"/>
      <c r="H3" s="6"/>
      <c r="I3" s="6"/>
    </row>
    <row r="4" spans="1:9" ht="6" customHeight="1">
      <c r="A4" s="7"/>
      <c r="B4" s="7"/>
      <c r="C4" s="7"/>
      <c r="D4" s="7"/>
      <c r="E4" s="7"/>
      <c r="F4" s="7"/>
      <c r="G4" s="7"/>
      <c r="H4" s="6"/>
      <c r="I4" s="6"/>
    </row>
    <row r="5" spans="1:9" ht="39" customHeight="1">
      <c r="A5" s="37" t="s">
        <v>12</v>
      </c>
      <c r="B5" s="38" t="s">
        <v>13</v>
      </c>
      <c r="C5" s="38" t="s">
        <v>14</v>
      </c>
      <c r="D5" s="38" t="s">
        <v>15</v>
      </c>
      <c r="E5" s="38" t="s">
        <v>16</v>
      </c>
      <c r="F5" s="38" t="s">
        <v>17</v>
      </c>
      <c r="G5" s="38" t="s">
        <v>18</v>
      </c>
      <c r="H5" s="6"/>
      <c r="I5" s="6"/>
    </row>
    <row r="6" spans="1:9" ht="24.95" customHeight="1">
      <c r="A6" s="31" t="s">
        <v>19</v>
      </c>
      <c r="B6" s="31"/>
      <c r="C6" s="31"/>
      <c r="D6" s="31"/>
      <c r="E6" s="31"/>
      <c r="F6" s="31"/>
      <c r="G6" s="31"/>
      <c r="H6" s="6"/>
      <c r="I6" s="6"/>
    </row>
    <row r="7" spans="1:9">
      <c r="A7" s="7" t="s">
        <v>20</v>
      </c>
      <c r="B7" s="8">
        <f>(Benchmark!$B$5)*$B$40</f>
        <v>8784572.3839999996</v>
      </c>
      <c r="C7" s="8">
        <f>B7*Assumptions!$B$11*$E$51</f>
        <v>168004.94684399999</v>
      </c>
      <c r="D7" s="8">
        <v>0</v>
      </c>
      <c r="E7" s="8">
        <f>SUM(B7:D7)</f>
        <v>8952577.330844</v>
      </c>
      <c r="F7" s="39">
        <v>0</v>
      </c>
      <c r="G7" s="8">
        <f>SUM(E7:F7)</f>
        <v>8952577.330844</v>
      </c>
      <c r="H7" s="6"/>
      <c r="I7" s="6"/>
    </row>
    <row r="8" spans="1:9">
      <c r="A8" s="7" t="s">
        <v>21</v>
      </c>
      <c r="B8" s="8">
        <f>(-(Benchmark!$B$6+Benchmark!$B$7))*$B$40</f>
        <v>-7702380.6719999993</v>
      </c>
      <c r="C8" s="8">
        <f>B8*Assumptions!$B$12*Assumptions!$B$13</f>
        <v>-365863.08191999997</v>
      </c>
      <c r="D8" s="8">
        <f>B8*(1-Assumptions!$B$13)*Assumptions!$B$8</f>
        <v>0</v>
      </c>
      <c r="E8" s="8">
        <f>SUM(B8:D8)</f>
        <v>-8068243.7539199991</v>
      </c>
      <c r="F8" s="39">
        <v>0</v>
      </c>
      <c r="G8" s="8">
        <f>SUM(E8:F8)</f>
        <v>-8068243.7539199991</v>
      </c>
      <c r="H8" s="6"/>
      <c r="I8" s="6"/>
    </row>
    <row r="9" spans="1:9">
      <c r="A9" s="7" t="s">
        <v>22</v>
      </c>
      <c r="B9" s="8">
        <f>(-Benchmark!$B$8)*$B$40</f>
        <v>-323017.40799999994</v>
      </c>
      <c r="C9" s="8">
        <v>0</v>
      </c>
      <c r="D9" s="8">
        <f>B9*Assumptions!$B$8</f>
        <v>-11305.609279999999</v>
      </c>
      <c r="E9" s="8">
        <f>SUM(B9:D9)</f>
        <v>-334323.01727999991</v>
      </c>
      <c r="F9" s="39">
        <v>0</v>
      </c>
      <c r="G9" s="8">
        <f>SUM(E9:F9)</f>
        <v>-334323.01727999991</v>
      </c>
      <c r="H9" s="6"/>
      <c r="I9" s="6"/>
    </row>
    <row r="10" spans="1:9">
      <c r="A10" s="7" t="s">
        <v>23</v>
      </c>
      <c r="B10" s="8">
        <f>(-Benchmark!$B$9)*$B$40</f>
        <v>-595163.74399999995</v>
      </c>
      <c r="C10" s="8">
        <f>B10*Assumptions!$B$15*Assumptions!$B$12</f>
        <v>-19789.194487999997</v>
      </c>
      <c r="D10" s="8">
        <f>B10*(1-Assumptions!$B$15)*Assumptions!$B$8</f>
        <v>-6249.2193120000011</v>
      </c>
      <c r="E10" s="8">
        <f>SUM(B10:D10)</f>
        <v>-621202.15779999993</v>
      </c>
      <c r="F10" s="39">
        <v>0</v>
      </c>
      <c r="G10" s="8">
        <f>SUM(E10:F10)</f>
        <v>-621202.15779999993</v>
      </c>
      <c r="H10" s="6"/>
      <c r="I10" s="6"/>
    </row>
    <row r="11" spans="1:9">
      <c r="A11" s="9" t="s">
        <v>24</v>
      </c>
      <c r="B11" s="10">
        <f t="shared" ref="B11:G11" si="0">SUM(B7:B10)</f>
        <v>164010.56000000041</v>
      </c>
      <c r="C11" s="10">
        <f t="shared" si="0"/>
        <v>-217647.32956399999</v>
      </c>
      <c r="D11" s="10">
        <f t="shared" si="0"/>
        <v>-17554.828591999998</v>
      </c>
      <c r="E11" s="10">
        <f t="shared" si="0"/>
        <v>-71191.598155998974</v>
      </c>
      <c r="F11" s="39">
        <f t="shared" si="0"/>
        <v>0</v>
      </c>
      <c r="G11" s="10">
        <f t="shared" si="0"/>
        <v>-71191.598155998974</v>
      </c>
      <c r="H11" s="6"/>
      <c r="I11" s="6"/>
    </row>
    <row r="12" spans="1:9" ht="6" customHeight="1">
      <c r="A12" s="7"/>
      <c r="B12" s="8"/>
      <c r="C12" s="8"/>
      <c r="D12" s="8"/>
      <c r="E12" s="8"/>
      <c r="F12" s="40"/>
      <c r="G12" s="8"/>
      <c r="H12" s="6"/>
      <c r="I12" s="6"/>
    </row>
    <row r="13" spans="1:9" ht="24.95" customHeight="1">
      <c r="A13" s="31" t="s">
        <v>25</v>
      </c>
      <c r="B13" s="31"/>
      <c r="C13" s="31"/>
      <c r="D13" s="31"/>
      <c r="E13" s="31"/>
      <c r="F13" s="31"/>
      <c r="G13" s="31"/>
      <c r="H13" s="6"/>
      <c r="I13" s="6"/>
    </row>
    <row r="14" spans="1:9">
      <c r="A14" s="7" t="s">
        <v>26</v>
      </c>
      <c r="B14" s="8">
        <f>(Benchmark!$B$10)*$B$40</f>
        <v>1803004.2239999999</v>
      </c>
      <c r="C14" s="8">
        <f>($B$53-Benchmark!$B$10)*$B$40</f>
        <v>109707.71840000003</v>
      </c>
      <c r="D14" s="8">
        <v>0</v>
      </c>
      <c r="E14" s="8">
        <f t="shared" ref="E14:E20" si="1">SUM(B14:D14)</f>
        <v>1912711.9424000001</v>
      </c>
      <c r="F14" s="39">
        <v>0</v>
      </c>
      <c r="G14" s="8">
        <f t="shared" ref="G14:G20" si="2">SUM(E14:F14)</f>
        <v>1912711.9424000001</v>
      </c>
      <c r="H14" s="6"/>
      <c r="I14" s="6"/>
    </row>
    <row r="15" spans="1:9">
      <c r="A15" s="7" t="s">
        <v>27</v>
      </c>
      <c r="B15" s="8">
        <f>(Benchmark!$B$11)*$B$40</f>
        <v>561805.66399999999</v>
      </c>
      <c r="C15" s="8">
        <f>(Assumptions!$B$23-Benchmark!$B$11)*$B$40</f>
        <v>53928.895999999935</v>
      </c>
      <c r="D15" s="8">
        <v>0</v>
      </c>
      <c r="E15" s="8">
        <f t="shared" si="1"/>
        <v>615734.55999999994</v>
      </c>
      <c r="F15" s="39">
        <v>0</v>
      </c>
      <c r="G15" s="8">
        <f t="shared" si="2"/>
        <v>615734.55999999994</v>
      </c>
      <c r="H15" s="6"/>
      <c r="I15" s="6"/>
    </row>
    <row r="16" spans="1:9">
      <c r="A16" s="7" t="s">
        <v>28</v>
      </c>
      <c r="B16" s="8">
        <f>(Benchmark!$B$12*Assumptions!$B$25)*$B$40</f>
        <v>158172.89600000001</v>
      </c>
      <c r="C16" s="8">
        <v>0</v>
      </c>
      <c r="D16" s="8">
        <f>B16*Assumptions!$B$8*Assumptions!$B$26</f>
        <v>5536.0513600000004</v>
      </c>
      <c r="E16" s="8">
        <f t="shared" si="1"/>
        <v>163708.94736000002</v>
      </c>
      <c r="F16" s="39">
        <f>IF(ISNUMBER($B$47),$B$46*$B$47,0)</f>
        <v>92007.849451644171</v>
      </c>
      <c r="G16" s="8">
        <f t="shared" si="2"/>
        <v>255716.79681164419</v>
      </c>
      <c r="H16" s="6"/>
      <c r="I16" s="6"/>
    </row>
    <row r="17" spans="1:9">
      <c r="A17" s="7" t="s">
        <v>29</v>
      </c>
      <c r="B17" s="8">
        <f>(Benchmark!$B$13-Benchmark!$B$10-Benchmark!$B$11-Benchmark!$B$12*Assumptions!$B$25)*$B$40</f>
        <v>277.9839999998706</v>
      </c>
      <c r="C17" s="8">
        <v>0</v>
      </c>
      <c r="D17" s="8">
        <v>0</v>
      </c>
      <c r="E17" s="8">
        <f t="shared" si="1"/>
        <v>277.9839999998706</v>
      </c>
      <c r="F17" s="39">
        <v>0</v>
      </c>
      <c r="G17" s="8">
        <f t="shared" si="2"/>
        <v>277.9839999998706</v>
      </c>
      <c r="H17" s="6"/>
      <c r="I17" s="6"/>
    </row>
    <row r="18" spans="1:9">
      <c r="A18" s="7" t="s">
        <v>30</v>
      </c>
      <c r="B18" s="8">
        <f>(-Benchmark!$B$14*Assumptions!$B$14)*$B$40</f>
        <v>-1066457.8176</v>
      </c>
      <c r="C18" s="8">
        <f>B18*Assumptions!$B$12</f>
        <v>-50656.746335999997</v>
      </c>
      <c r="D18" s="8">
        <v>0</v>
      </c>
      <c r="E18" s="8">
        <f t="shared" si="1"/>
        <v>-1117114.563936</v>
      </c>
      <c r="F18" s="39">
        <v>0</v>
      </c>
      <c r="G18" s="8">
        <f t="shared" si="2"/>
        <v>-1117114.563936</v>
      </c>
      <c r="H18" s="6"/>
      <c r="I18" s="6"/>
    </row>
    <row r="19" spans="1:9">
      <c r="A19" s="7" t="s">
        <v>31</v>
      </c>
      <c r="B19" s="8">
        <f>(-(Benchmark!$B$14*(1-Assumptions!$B$14)+Benchmark!$B$15))*$B$40</f>
        <v>-970330.95039999986</v>
      </c>
      <c r="C19" s="8">
        <v>0</v>
      </c>
      <c r="D19" s="8">
        <f>B19*Assumptions!$B$8</f>
        <v>-33961.583264000001</v>
      </c>
      <c r="E19" s="8">
        <f t="shared" si="1"/>
        <v>-1004292.5336639999</v>
      </c>
      <c r="F19" s="39">
        <f>-F16*Assumptions!$B$35</f>
        <v>0</v>
      </c>
      <c r="G19" s="8">
        <f t="shared" si="2"/>
        <v>-1004292.5336639999</v>
      </c>
      <c r="H19" s="6"/>
      <c r="I19" s="6"/>
    </row>
    <row r="20" spans="1:9">
      <c r="A20" s="7" t="s">
        <v>32</v>
      </c>
      <c r="B20" s="8">
        <f>(-Benchmark!$B$16)*$B$40</f>
        <v>-540956.86399999994</v>
      </c>
      <c r="C20" s="8">
        <f>B20*Assumptions!$B$15*Assumptions!$B$12</f>
        <v>-17986.815727999998</v>
      </c>
      <c r="D20" s="8">
        <f>B20*(1-Assumptions!$B$15)*Assumptions!$B$8</f>
        <v>-5680.0470720000012</v>
      </c>
      <c r="E20" s="8">
        <f t="shared" si="1"/>
        <v>-564623.72679999995</v>
      </c>
      <c r="F20" s="39">
        <v>0</v>
      </c>
      <c r="G20" s="8">
        <f t="shared" si="2"/>
        <v>-564623.72679999995</v>
      </c>
      <c r="H20" s="6"/>
      <c r="I20" s="6"/>
    </row>
    <row r="21" spans="1:9">
      <c r="A21" s="9" t="s">
        <v>33</v>
      </c>
      <c r="B21" s="10">
        <f t="shared" ref="B21:G21" si="3">SUM(B14:B20)</f>
        <v>-54484.86400000006</v>
      </c>
      <c r="C21" s="10">
        <f t="shared" si="3"/>
        <v>94993.052335999964</v>
      </c>
      <c r="D21" s="10">
        <f t="shared" si="3"/>
        <v>-34105.578976000004</v>
      </c>
      <c r="E21" s="10">
        <f t="shared" si="3"/>
        <v>6402.6093600001186</v>
      </c>
      <c r="F21" s="39">
        <f t="shared" si="3"/>
        <v>92007.849451644171</v>
      </c>
      <c r="G21" s="10">
        <f t="shared" si="3"/>
        <v>98410.458811643999</v>
      </c>
      <c r="H21" s="6"/>
      <c r="I21" s="6"/>
    </row>
    <row r="22" spans="1:9" ht="6" customHeight="1">
      <c r="A22" s="7"/>
      <c r="B22" s="8"/>
      <c r="C22" s="8"/>
      <c r="D22" s="8"/>
      <c r="E22" s="8"/>
      <c r="F22" s="40"/>
      <c r="G22" s="8"/>
      <c r="H22" s="6"/>
      <c r="I22" s="6"/>
    </row>
    <row r="23" spans="1:9" ht="24.95" customHeight="1">
      <c r="A23" s="31" t="s">
        <v>34</v>
      </c>
      <c r="B23" s="31"/>
      <c r="C23" s="31"/>
      <c r="D23" s="31"/>
      <c r="E23" s="31"/>
      <c r="F23" s="31"/>
      <c r="G23" s="31"/>
      <c r="H23" s="6"/>
      <c r="I23" s="6"/>
    </row>
    <row r="24" spans="1:9">
      <c r="A24" s="7" t="s">
        <v>35</v>
      </c>
      <c r="B24" s="8">
        <f>(Benchmark!$B$17)*$B$40</f>
        <v>511768.54399999994</v>
      </c>
      <c r="C24" s="8">
        <f>B24*Assumptions!$B$30*Assumptions!$B$31*$E$53</f>
        <v>2146.497265017003</v>
      </c>
      <c r="D24" s="8">
        <f>(B24+C24)*Assumptions!$B$8*$B$41</f>
        <v>3597.4052888551191</v>
      </c>
      <c r="E24" s="8">
        <f>SUM(B24:D24)</f>
        <v>517512.44655387208</v>
      </c>
      <c r="F24" s="39">
        <f>IF(ISNUMBER($C$47),$C$46*$C$47,0)</f>
        <v>92007.849451644171</v>
      </c>
      <c r="G24" s="8">
        <f>SUM(E24:F24)</f>
        <v>609520.29600551631</v>
      </c>
      <c r="H24" s="6"/>
      <c r="I24" s="6"/>
    </row>
    <row r="25" spans="1:9">
      <c r="A25" s="7" t="s">
        <v>36</v>
      </c>
      <c r="B25" s="8">
        <f>(Benchmark!$B$18)*$B$40</f>
        <v>735823.64799999993</v>
      </c>
      <c r="C25" s="8">
        <f>B25*$E$52</f>
        <v>13716.64737884002</v>
      </c>
      <c r="D25" s="8">
        <v>0</v>
      </c>
      <c r="E25" s="8">
        <f>SUM(B25:D25)</f>
        <v>749540.29537883995</v>
      </c>
      <c r="F25" s="39">
        <v>0</v>
      </c>
      <c r="G25" s="8">
        <f>SUM(E25:F25)</f>
        <v>749540.29537883995</v>
      </c>
      <c r="H25" s="6"/>
      <c r="I25" s="6"/>
    </row>
    <row r="26" spans="1:9">
      <c r="A26" s="7" t="s">
        <v>37</v>
      </c>
      <c r="B26" s="8">
        <f>(-Benchmark!$B$19)*$B$40</f>
        <v>-642143.04</v>
      </c>
      <c r="C26" s="8">
        <v>0</v>
      </c>
      <c r="D26" s="8">
        <v>0</v>
      </c>
      <c r="E26" s="8">
        <f>SUM(B26:D26)</f>
        <v>-642143.04</v>
      </c>
      <c r="F26" s="39">
        <v>0</v>
      </c>
      <c r="G26" s="8">
        <f>SUM(E26:F26)</f>
        <v>-642143.04</v>
      </c>
      <c r="H26" s="6"/>
      <c r="I26" s="6"/>
    </row>
    <row r="27" spans="1:9">
      <c r="A27" s="7" t="s">
        <v>38</v>
      </c>
      <c r="B27" s="8">
        <f>(-(Benchmark!$B$20+Benchmark!$B$21+Benchmark!$B$22))*$B$40</f>
        <v>-497035.39199999993</v>
      </c>
      <c r="C27" s="8">
        <v>0</v>
      </c>
      <c r="D27" s="8">
        <f>B27*Assumptions!$B$8</f>
        <v>-17396.238719999998</v>
      </c>
      <c r="E27" s="8">
        <f>SUM(B27:D27)</f>
        <v>-514431.63071999996</v>
      </c>
      <c r="F27" s="39">
        <f>-F24*Assumptions!$B$36</f>
        <v>0</v>
      </c>
      <c r="G27" s="8">
        <f>SUM(E27:F27)</f>
        <v>-514431.63071999996</v>
      </c>
      <c r="H27" s="6"/>
      <c r="I27" s="6"/>
    </row>
    <row r="28" spans="1:9">
      <c r="A28" s="7" t="s">
        <v>39</v>
      </c>
      <c r="B28" s="8">
        <f>(-Benchmark!$B$23)*$B$40</f>
        <v>-472850.78399999999</v>
      </c>
      <c r="C28" s="8">
        <f>B28*Assumptions!$B$15*Assumptions!$B$12</f>
        <v>-15722.288568</v>
      </c>
      <c r="D28" s="8">
        <f>B28*(1-Assumptions!$B$15)*Assumptions!$B$8</f>
        <v>-4964.9332320000012</v>
      </c>
      <c r="E28" s="8">
        <f>SUM(B28:D28)</f>
        <v>-493538.00579999998</v>
      </c>
      <c r="F28" s="39">
        <v>0</v>
      </c>
      <c r="G28" s="8">
        <f>SUM(E28:F28)</f>
        <v>-493538.00579999998</v>
      </c>
      <c r="H28" s="6"/>
      <c r="I28" s="6"/>
    </row>
    <row r="29" spans="1:9">
      <c r="A29" s="9" t="s">
        <v>40</v>
      </c>
      <c r="B29" s="10">
        <f t="shared" ref="B29:G29" si="4">SUM(B24:B28)</f>
        <v>-364437.02400000015</v>
      </c>
      <c r="C29" s="10">
        <f t="shared" si="4"/>
        <v>140.85607585702382</v>
      </c>
      <c r="D29" s="10">
        <f t="shared" si="4"/>
        <v>-18763.766663144881</v>
      </c>
      <c r="E29" s="10">
        <f t="shared" si="4"/>
        <v>-383059.93458728795</v>
      </c>
      <c r="F29" s="39">
        <f t="shared" si="4"/>
        <v>92007.849451644171</v>
      </c>
      <c r="G29" s="10">
        <f t="shared" si="4"/>
        <v>-291052.0851356436</v>
      </c>
      <c r="H29" s="6"/>
      <c r="I29" s="6"/>
    </row>
    <row r="30" spans="1:9" ht="6" customHeight="1">
      <c r="A30" s="7"/>
      <c r="B30" s="8"/>
      <c r="C30" s="8"/>
      <c r="D30" s="8"/>
      <c r="E30" s="8"/>
      <c r="F30" s="39"/>
      <c r="G30" s="8"/>
      <c r="H30" s="6"/>
      <c r="I30" s="6"/>
    </row>
    <row r="31" spans="1:9">
      <c r="A31" s="9" t="s">
        <v>41</v>
      </c>
      <c r="B31" s="10">
        <f t="shared" ref="B31:G31" si="5">SUM(B7,B14:B17,B24:B25)</f>
        <v>12555425.343999999</v>
      </c>
      <c r="C31" s="10">
        <f t="shared" si="5"/>
        <v>347504.70588785701</v>
      </c>
      <c r="D31" s="10">
        <f t="shared" si="5"/>
        <v>9133.4566488551191</v>
      </c>
      <c r="E31" s="10">
        <f t="shared" si="5"/>
        <v>12912063.506536713</v>
      </c>
      <c r="F31" s="39">
        <f t="shared" si="5"/>
        <v>184015.69890328834</v>
      </c>
      <c r="G31" s="10">
        <f t="shared" si="5"/>
        <v>13096079.205440002</v>
      </c>
      <c r="H31" s="6"/>
      <c r="I31" s="6"/>
    </row>
    <row r="32" spans="1:9">
      <c r="A32" s="9" t="s">
        <v>42</v>
      </c>
      <c r="B32" s="10">
        <f t="shared" ref="B32:G32" si="6">SUM(B8:B10,B18:B20,B26:B28,B36)</f>
        <v>-12810336.671999998</v>
      </c>
      <c r="C32" s="10">
        <f t="shared" si="6"/>
        <v>-470018.12703999999</v>
      </c>
      <c r="D32" s="10">
        <f t="shared" si="6"/>
        <v>-79557.630879999997</v>
      </c>
      <c r="E32" s="10">
        <f t="shared" si="6"/>
        <v>-13359912.429920001</v>
      </c>
      <c r="F32" s="39">
        <f t="shared" si="6"/>
        <v>0</v>
      </c>
      <c r="G32" s="10">
        <f t="shared" si="6"/>
        <v>-13359912.429920001</v>
      </c>
      <c r="H32" s="6"/>
      <c r="I32" s="6"/>
    </row>
    <row r="33" spans="1:9" ht="27" customHeight="1">
      <c r="A33" s="31" t="s">
        <v>43</v>
      </c>
      <c r="B33" s="31">
        <f t="shared" ref="B33:G33" si="7">SUM(B31:B32)</f>
        <v>-254911.32799999975</v>
      </c>
      <c r="C33" s="31">
        <f t="shared" si="7"/>
        <v>-122513.42115214298</v>
      </c>
      <c r="D33" s="31">
        <f t="shared" si="7"/>
        <v>-70424.174231144876</v>
      </c>
      <c r="E33" s="31">
        <f t="shared" si="7"/>
        <v>-447848.92338328809</v>
      </c>
      <c r="F33" s="31">
        <f t="shared" si="7"/>
        <v>184015.69890328834</v>
      </c>
      <c r="G33" s="31">
        <f t="shared" si="7"/>
        <v>-263833.22447999939</v>
      </c>
      <c r="H33" s="6"/>
      <c r="I33" s="6"/>
    </row>
    <row r="34" spans="1:9" ht="21" customHeight="1">
      <c r="A34" s="11" t="s">
        <v>44</v>
      </c>
      <c r="B34" s="12">
        <f>IF(B31=0,"n.a.",B33/B31)</f>
        <v>-2.0302882699375618E-2</v>
      </c>
      <c r="C34" s="12" t="s">
        <v>45</v>
      </c>
      <c r="D34" s="12" t="s">
        <v>45</v>
      </c>
      <c r="E34" s="12">
        <f>IF(E31=0,"n.a.",E33/E31)</f>
        <v>-3.4684535369312985E-2</v>
      </c>
      <c r="F34" s="41" t="s">
        <v>45</v>
      </c>
      <c r="G34" s="12">
        <f>IF(G31=0,"n.a.",G33/G31)</f>
        <v>-2.0145970434449212E-2</v>
      </c>
      <c r="H34" s="6"/>
      <c r="I34" s="6"/>
    </row>
    <row r="35" spans="1:9" ht="6" customHeight="1">
      <c r="A35" s="7"/>
      <c r="B35" s="8"/>
      <c r="C35" s="8"/>
      <c r="D35" s="8"/>
      <c r="E35" s="8"/>
      <c r="F35" s="39"/>
      <c r="G35" s="8"/>
      <c r="H35" s="6"/>
      <c r="I35" s="6"/>
    </row>
    <row r="36" spans="1:9" ht="21" customHeight="1">
      <c r="A36" s="7" t="s">
        <v>46</v>
      </c>
      <c r="B36" s="8">
        <v>0</v>
      </c>
      <c r="C36" s="8">
        <f>-Assumptions!$B$33</f>
        <v>0</v>
      </c>
      <c r="D36" s="8">
        <v>0</v>
      </c>
      <c r="E36" s="8">
        <f>SUM(B36:D36)</f>
        <v>0</v>
      </c>
      <c r="F36" s="39">
        <v>0</v>
      </c>
      <c r="G36" s="8">
        <f>SUM(E36:F36)</f>
        <v>0</v>
      </c>
      <c r="H36" s="6"/>
      <c r="I36" s="6"/>
    </row>
    <row r="37" spans="1:9" ht="6" customHeight="1">
      <c r="A37" s="7"/>
      <c r="B37" s="13"/>
      <c r="C37" s="13"/>
      <c r="D37" s="13"/>
      <c r="E37" s="13"/>
      <c r="F37" s="42"/>
      <c r="G37" s="13"/>
      <c r="H37" s="6"/>
      <c r="I37" s="6"/>
    </row>
    <row r="38" spans="1:9" ht="30.75" customHeight="1">
      <c r="A38" s="37" t="s">
        <v>47</v>
      </c>
      <c r="B38" s="37"/>
      <c r="C38" s="37"/>
      <c r="D38" s="37"/>
      <c r="E38" s="37"/>
      <c r="F38" s="37"/>
      <c r="G38" s="37"/>
      <c r="H38" s="6"/>
      <c r="I38" s="6"/>
    </row>
    <row r="39" spans="1:9" ht="6" customHeight="1">
      <c r="A39" s="7"/>
      <c r="B39" s="13"/>
      <c r="C39" s="13"/>
      <c r="D39" s="13"/>
      <c r="E39" s="13"/>
      <c r="F39" s="13"/>
      <c r="G39" s="13"/>
      <c r="H39" s="6"/>
      <c r="I39" s="6"/>
    </row>
    <row r="40" spans="1:9" ht="25.5">
      <c r="A40" s="7" t="s">
        <v>48</v>
      </c>
      <c r="B40" s="14">
        <f>Assumptions!$B$5*Assumptions!$B$6*Assumptions!$B$7</f>
        <v>27798.399999999998</v>
      </c>
      <c r="C40" s="13"/>
      <c r="D40" s="15" t="s">
        <v>49</v>
      </c>
      <c r="E40" s="16">
        <f>IF(Assumptions!$B$37=2,MAX(0,B33*(1+Assumptions!$B$8)),B33*(1+Assumptions!$B$8))+Assumptions!$B$38</f>
        <v>-263833.22447999974</v>
      </c>
      <c r="F40" s="13"/>
      <c r="G40" s="13"/>
      <c r="H40" s="6"/>
      <c r="I40" s="6"/>
    </row>
    <row r="41" spans="1:9">
      <c r="A41" s="7" t="s">
        <v>50</v>
      </c>
      <c r="B41" s="17">
        <f>Assumptions!$B$27*Assumptions!$B$28*Assumptions!$B$29</f>
        <v>0.2</v>
      </c>
      <c r="C41" s="13"/>
      <c r="D41" s="15" t="s">
        <v>51</v>
      </c>
      <c r="E41" s="16">
        <f>MAX(0,E40-E33)</f>
        <v>184015.69890328834</v>
      </c>
      <c r="F41" s="13"/>
      <c r="G41" s="13"/>
      <c r="H41" s="6"/>
      <c r="I41" s="6"/>
    </row>
    <row r="42" spans="1:9" ht="6" customHeight="1">
      <c r="A42" s="7"/>
      <c r="B42" s="13"/>
      <c r="C42" s="13"/>
      <c r="D42" s="18"/>
      <c r="E42" s="13"/>
      <c r="F42" s="13"/>
      <c r="G42" s="13"/>
      <c r="H42" s="6"/>
      <c r="I42" s="6"/>
    </row>
    <row r="43" spans="1:9" ht="15">
      <c r="A43" s="31" t="s">
        <v>52</v>
      </c>
      <c r="B43" s="31" t="s">
        <v>53</v>
      </c>
      <c r="C43" s="31" t="s">
        <v>54</v>
      </c>
      <c r="D43" s="31" t="s">
        <v>55</v>
      </c>
      <c r="E43" s="13"/>
      <c r="F43" s="13"/>
      <c r="G43" s="13"/>
      <c r="H43" s="6"/>
      <c r="I43" s="6"/>
    </row>
    <row r="44" spans="1:9">
      <c r="A44" s="7" t="s">
        <v>56</v>
      </c>
      <c r="B44" s="8">
        <f>$E$41*MEDIAN(0,Assumptions!$B$34,1)</f>
        <v>92007.849451644171</v>
      </c>
      <c r="C44" s="8">
        <f>E41-B44</f>
        <v>92007.849451644171</v>
      </c>
      <c r="D44" s="8">
        <f>SUM(B44:C44)</f>
        <v>184015.69890328834</v>
      </c>
      <c r="E44" s="13"/>
      <c r="F44" s="13"/>
      <c r="G44" s="13"/>
      <c r="H44" s="6"/>
      <c r="I44" s="6"/>
    </row>
    <row r="45" spans="1:9">
      <c r="A45" s="7" t="s">
        <v>57</v>
      </c>
      <c r="B45" s="8">
        <f>IFERROR(B44/(1-Assumptions!$B$35),"n.a.")</f>
        <v>92007.849451644171</v>
      </c>
      <c r="C45" s="8">
        <f>IFERROR(C44/(1-Assumptions!$B$36),"n.a.")</f>
        <v>92007.849451644171</v>
      </c>
      <c r="D45" s="8">
        <f>SUM(B45:C45)</f>
        <v>184015.69890328834</v>
      </c>
      <c r="E45" s="13"/>
      <c r="F45" s="13"/>
      <c r="G45" s="13"/>
      <c r="H45" s="6"/>
      <c r="I45" s="6"/>
    </row>
    <row r="46" spans="1:9">
      <c r="A46" s="7" t="s">
        <v>58</v>
      </c>
      <c r="B46" s="8">
        <f>B16*(1+Assumptions!$B$8)*Assumptions!$B$26</f>
        <v>163708.94735999999</v>
      </c>
      <c r="C46" s="8">
        <f>(B24+C24)*(1+Assumptions!$B$8)*$B$41</f>
        <v>106380.41354185851</v>
      </c>
      <c r="D46" s="8">
        <f>SUM(B46:C46)</f>
        <v>270089.36090185848</v>
      </c>
      <c r="E46" s="13"/>
      <c r="F46" s="13"/>
      <c r="G46" s="13"/>
      <c r="H46" s="6"/>
      <c r="I46" s="6"/>
    </row>
    <row r="47" spans="1:9">
      <c r="A47" s="7" t="s">
        <v>59</v>
      </c>
      <c r="B47" s="17">
        <f>IF(NOT(ISNUMBER(B45)),"n.a.",IF(B46=0,IF(B45=0,0,"n.a."),B45/B46))</f>
        <v>0.56202089705773173</v>
      </c>
      <c r="C47" s="17">
        <f>IF(NOT(ISNUMBER(C45)),"n.a.",IF(C46=0,IF(C45=0,0,"n.a."),C45/C46))</f>
        <v>0.86489463979608405</v>
      </c>
      <c r="D47" s="13"/>
      <c r="E47" s="13"/>
      <c r="F47" s="13"/>
      <c r="G47" s="13"/>
      <c r="H47" s="6"/>
      <c r="I47" s="6"/>
    </row>
    <row r="48" spans="1:9">
      <c r="A48" s="7" t="s">
        <v>60</v>
      </c>
      <c r="B48" s="17">
        <f>IF(ISNUMBER(B47),(1+Assumptions!$B$8)*(1+B47)-1,"n.a.")</f>
        <v>0.61669162845475212</v>
      </c>
      <c r="C48" s="17">
        <f>IF(ISNUMBER(C47),(1+Assumptions!$B$8)*(1+C47)-1,"n.a.")</f>
        <v>0.93016595218894693</v>
      </c>
      <c r="D48" s="13"/>
      <c r="E48" s="13"/>
      <c r="F48" s="13"/>
      <c r="G48" s="13"/>
      <c r="H48" s="6"/>
      <c r="I48" s="6"/>
    </row>
    <row r="49" spans="1:9">
      <c r="A49" s="7" t="s">
        <v>61</v>
      </c>
      <c r="B49" s="19">
        <f>IFERROR(B45/$B$40,"n.a.")</f>
        <v>3.3098253659075407</v>
      </c>
      <c r="C49" s="19">
        <f>IFERROR(C45/$B$40,"n.a.")</f>
        <v>3.3098253659075407</v>
      </c>
      <c r="D49" s="19">
        <f>SUM(B49:C49)</f>
        <v>6.6196507318150815</v>
      </c>
      <c r="E49" s="13"/>
      <c r="F49" s="13"/>
      <c r="G49" s="13"/>
      <c r="H49" s="6"/>
      <c r="I49" s="6"/>
    </row>
    <row r="50" spans="1:9">
      <c r="A50" s="7"/>
      <c r="B50" s="13"/>
      <c r="C50" s="13"/>
      <c r="D50" s="18"/>
      <c r="E50" s="13"/>
      <c r="F50" s="13"/>
      <c r="G50" s="13"/>
      <c r="H50" s="6"/>
      <c r="I50" s="6"/>
    </row>
    <row r="51" spans="1:9" ht="25.5">
      <c r="A51" s="7" t="s">
        <v>62</v>
      </c>
      <c r="B51" s="19">
        <f>ROUND(Assumptions!$B$17*Assumptions!$B$18/14,2)</f>
        <v>68.94</v>
      </c>
      <c r="C51" s="13"/>
      <c r="D51" s="15" t="s">
        <v>63</v>
      </c>
      <c r="E51" s="20">
        <f>Assumptions!$B$9*Assumptions!$B$10/12</f>
        <v>1.9125E-2</v>
      </c>
      <c r="F51" s="13"/>
      <c r="G51" s="13"/>
      <c r="H51" s="6"/>
      <c r="I51" s="6"/>
    </row>
    <row r="52" spans="1:9" ht="38.25">
      <c r="A52" s="7" t="s">
        <v>64</v>
      </c>
      <c r="B52" s="19">
        <f>ROUND(B51*(1+Assumptions!$B$19),2)</f>
        <v>70.150000000000006</v>
      </c>
      <c r="C52" s="13"/>
      <c r="D52" s="15" t="s">
        <v>65</v>
      </c>
      <c r="E52" s="20">
        <f>(Assumptions!$B$24/2*Assumptions!$B$21+((1+Assumptions!$B$24/2)^2-1)*Assumptions!$B$22)/Assumptions!$B$7</f>
        <v>1.8641215753424686E-2</v>
      </c>
      <c r="F52" s="13"/>
      <c r="G52" s="13"/>
      <c r="H52" s="6"/>
      <c r="I52" s="6"/>
    </row>
    <row r="53" spans="1:9" ht="25.5">
      <c r="A53" s="7" t="s">
        <v>66</v>
      </c>
      <c r="B53" s="19">
        <f>(Assumptions!$B$16*Assumptions!$B$20+B51*Assumptions!$B$21+B52*Assumptions!$B$22)/Assumptions!$B$7</f>
        <v>68.80654794520548</v>
      </c>
      <c r="C53" s="13"/>
      <c r="D53" s="15" t="s">
        <v>67</v>
      </c>
      <c r="E53" s="20">
        <f>(Assumptions!$B$32/2*Assumptions!$B$21+((1+Assumptions!$B$32/2)^2-1)*Assumptions!$B$22)/Assumptions!$B$7</f>
        <v>1.8641215753424686E-2</v>
      </c>
      <c r="F53" s="13"/>
      <c r="G53" s="13"/>
      <c r="H53" s="6"/>
      <c r="I53" s="6"/>
    </row>
    <row r="54" spans="1:9">
      <c r="A54" s="7"/>
      <c r="B54" s="13"/>
      <c r="C54" s="13"/>
      <c r="D54" s="18"/>
      <c r="E54" s="13"/>
      <c r="F54" s="13"/>
      <c r="G54" s="13"/>
      <c r="H54" s="6"/>
      <c r="I54" s="6"/>
    </row>
    <row r="55" spans="1:9">
      <c r="A55" s="7" t="s">
        <v>68</v>
      </c>
      <c r="B55" s="16">
        <f>G33-B33</f>
        <v>-8921.8964799996465</v>
      </c>
      <c r="C55" s="13"/>
      <c r="D55" s="18" t="s">
        <v>69</v>
      </c>
      <c r="E55" s="16">
        <f>ROUND(MAX(0,E40-G33),2)</f>
        <v>0</v>
      </c>
      <c r="F55" s="13"/>
      <c r="G55" s="13"/>
      <c r="H55" s="6"/>
      <c r="I55" s="6"/>
    </row>
    <row r="56" spans="1:9" ht="6" customHeight="1">
      <c r="A56" s="7"/>
      <c r="B56" s="13"/>
      <c r="C56" s="13"/>
      <c r="D56" s="13"/>
      <c r="E56" s="13"/>
      <c r="F56" s="13"/>
      <c r="G56" s="13"/>
      <c r="H56" s="6"/>
      <c r="I56" s="6"/>
    </row>
    <row r="57" spans="1:9" ht="14.25" customHeight="1">
      <c r="A57" s="50" t="s">
        <v>70</v>
      </c>
      <c r="B57" s="49"/>
      <c r="C57" s="49"/>
      <c r="D57" s="49"/>
      <c r="E57" s="49"/>
      <c r="F57" s="49"/>
      <c r="G57" s="49"/>
      <c r="H57" s="6"/>
      <c r="I57" s="6"/>
    </row>
    <row r="58" spans="1:9" ht="6" customHeight="1">
      <c r="A58" s="7"/>
      <c r="B58" s="13"/>
      <c r="C58" s="13"/>
      <c r="D58" s="13"/>
      <c r="E58" s="13"/>
      <c r="F58" s="13"/>
      <c r="G58" s="13"/>
      <c r="H58" s="6"/>
      <c r="I58" s="6"/>
    </row>
    <row r="59" spans="1:9" ht="33" customHeight="1">
      <c r="A59" s="50" t="s">
        <v>71</v>
      </c>
      <c r="B59" s="49"/>
      <c r="C59" s="49"/>
      <c r="D59" s="49"/>
      <c r="E59" s="49"/>
      <c r="F59" s="49"/>
      <c r="G59" s="49"/>
      <c r="H59" s="6"/>
      <c r="I59" s="6"/>
    </row>
    <row r="60" spans="1:9" ht="6" customHeight="1">
      <c r="A60" s="7"/>
      <c r="B60" s="13"/>
      <c r="C60" s="13"/>
      <c r="D60" s="13"/>
      <c r="E60" s="13"/>
      <c r="F60" s="13"/>
      <c r="G60" s="13"/>
      <c r="H60" s="6"/>
      <c r="I60" s="6"/>
    </row>
    <row r="61" spans="1:9" ht="30.95" customHeight="1">
      <c r="A61" s="50" t="s">
        <v>72</v>
      </c>
      <c r="B61" s="49"/>
      <c r="C61" s="49"/>
      <c r="D61" s="49"/>
      <c r="E61" s="49"/>
      <c r="F61" s="49"/>
      <c r="G61" s="49"/>
      <c r="H61" s="6"/>
      <c r="I61" s="6"/>
    </row>
    <row r="62" spans="1:9" ht="6" customHeight="1">
      <c r="A62" s="7"/>
      <c r="B62" s="13"/>
      <c r="C62" s="13"/>
      <c r="D62" s="13"/>
      <c r="E62" s="13"/>
      <c r="F62" s="13"/>
      <c r="G62" s="13"/>
      <c r="H62" s="6"/>
      <c r="I62" s="6"/>
    </row>
    <row r="63" spans="1:9" ht="15">
      <c r="A63" s="31" t="s">
        <v>73</v>
      </c>
      <c r="B63" s="31"/>
      <c r="C63" s="31"/>
      <c r="D63" s="31"/>
      <c r="E63" s="31"/>
      <c r="F63" s="31"/>
      <c r="G63" s="31"/>
      <c r="H63" s="6"/>
      <c r="I63" s="6"/>
    </row>
    <row r="64" spans="1:9" ht="6" customHeight="1">
      <c r="A64" s="7"/>
      <c r="B64" s="13"/>
      <c r="C64" s="13"/>
      <c r="D64" s="13"/>
      <c r="E64" s="13"/>
      <c r="F64" s="13"/>
      <c r="G64" s="13"/>
      <c r="H64" s="6"/>
      <c r="I64" s="6"/>
    </row>
    <row r="65" spans="1:9" ht="21" customHeight="1">
      <c r="A65" s="7" t="s">
        <v>74</v>
      </c>
      <c r="B65" s="13" t="s">
        <v>75</v>
      </c>
      <c r="C65" s="13"/>
      <c r="D65" s="13"/>
      <c r="E65" s="13"/>
      <c r="F65" s="13"/>
      <c r="G65" s="13"/>
      <c r="H65" s="6"/>
      <c r="I65" s="6"/>
    </row>
    <row r="66" spans="1:9" ht="21" customHeight="1">
      <c r="A66" s="7" t="s">
        <v>76</v>
      </c>
      <c r="B66" s="16">
        <f>B33</f>
        <v>-254911.32799999975</v>
      </c>
      <c r="C66" s="13"/>
      <c r="D66" s="13"/>
      <c r="E66" s="13"/>
      <c r="F66" s="13"/>
      <c r="G66" s="13"/>
      <c r="H66" s="6"/>
      <c r="I66" s="6"/>
    </row>
    <row r="67" spans="1:9" ht="21" customHeight="1">
      <c r="A67" s="7" t="s">
        <v>77</v>
      </c>
      <c r="B67" s="16">
        <f>E33</f>
        <v>-447848.92338328809</v>
      </c>
      <c r="C67" s="13"/>
      <c r="D67" s="13"/>
      <c r="E67" s="13"/>
      <c r="F67" s="13"/>
      <c r="G67" s="13"/>
      <c r="H67" s="6"/>
      <c r="I67" s="6"/>
    </row>
    <row r="68" spans="1:9" ht="21" customHeight="1">
      <c r="A68" s="7" t="s">
        <v>78</v>
      </c>
      <c r="B68" s="16">
        <f>G33</f>
        <v>-263833.22447999939</v>
      </c>
      <c r="C68" s="13"/>
      <c r="D68" s="13"/>
      <c r="E68" s="13"/>
      <c r="F68" s="13"/>
      <c r="G68" s="13"/>
      <c r="H68" s="6"/>
      <c r="I68" s="6"/>
    </row>
    <row r="69" spans="1:9" ht="21" customHeight="1">
      <c r="A69" s="7"/>
      <c r="B69" s="13"/>
      <c r="C69" s="13"/>
      <c r="D69" s="13"/>
      <c r="E69" s="13"/>
      <c r="F69" s="13"/>
      <c r="G69" s="13"/>
      <c r="H69" s="6"/>
      <c r="I69" s="6"/>
    </row>
    <row r="70" spans="1:9" ht="21" customHeight="1">
      <c r="A70" s="7"/>
      <c r="B70" s="13"/>
      <c r="C70" s="13"/>
      <c r="D70" s="13"/>
      <c r="E70" s="13"/>
      <c r="F70" s="13"/>
      <c r="G70" s="13"/>
      <c r="H70" s="6"/>
      <c r="I70" s="6"/>
    </row>
    <row r="71" spans="1:9" ht="21" customHeight="1">
      <c r="A71" s="7"/>
      <c r="B71" s="13"/>
      <c r="C71" s="13"/>
      <c r="D71" s="13"/>
      <c r="E71" s="13"/>
      <c r="F71" s="13"/>
      <c r="G71" s="13"/>
      <c r="H71" s="6"/>
      <c r="I71" s="6"/>
    </row>
    <row r="72" spans="1:9" ht="21" customHeight="1">
      <c r="A72" s="7"/>
      <c r="B72" s="13"/>
      <c r="C72" s="13"/>
      <c r="D72" s="13"/>
      <c r="E72" s="13"/>
      <c r="F72" s="13"/>
      <c r="G72" s="13"/>
      <c r="H72" s="6"/>
      <c r="I72" s="6"/>
    </row>
    <row r="73" spans="1:9" ht="21" customHeight="1">
      <c r="A73" s="7"/>
      <c r="B73" s="13"/>
      <c r="C73" s="13"/>
      <c r="D73" s="13"/>
      <c r="E73" s="13"/>
      <c r="F73" s="13"/>
      <c r="G73" s="13"/>
      <c r="H73" s="6"/>
      <c r="I73" s="6"/>
    </row>
    <row r="74" spans="1:9" ht="21" customHeight="1">
      <c r="A74" s="7"/>
      <c r="B74" s="13"/>
      <c r="C74" s="13"/>
      <c r="D74" s="13"/>
      <c r="E74" s="13"/>
      <c r="F74" s="13"/>
      <c r="G74" s="13"/>
      <c r="H74" s="6"/>
      <c r="I74" s="6"/>
    </row>
    <row r="75" spans="1:9" ht="21" customHeight="1">
      <c r="A75" s="7"/>
      <c r="B75" s="13"/>
      <c r="C75" s="13"/>
      <c r="D75" s="13"/>
      <c r="E75" s="13"/>
      <c r="F75" s="13"/>
      <c r="G75" s="13"/>
      <c r="H75" s="6"/>
      <c r="I75" s="6"/>
    </row>
    <row r="76" spans="1:9" ht="21" customHeight="1">
      <c r="A76" s="7"/>
      <c r="B76" s="13"/>
      <c r="C76" s="13"/>
      <c r="D76" s="13"/>
      <c r="E76" s="13"/>
      <c r="F76" s="13"/>
      <c r="G76" s="13"/>
      <c r="H76" s="6"/>
      <c r="I76" s="6"/>
    </row>
    <row r="77" spans="1:9" ht="21" customHeight="1">
      <c r="A77" s="7"/>
      <c r="B77" s="13"/>
      <c r="C77" s="13"/>
      <c r="D77" s="13"/>
      <c r="E77" s="13"/>
      <c r="F77" s="13"/>
      <c r="G77" s="13"/>
      <c r="H77" s="6"/>
      <c r="I77" s="6"/>
    </row>
    <row r="78" spans="1:9" ht="21" customHeight="1">
      <c r="A78" s="7"/>
      <c r="B78" s="13"/>
      <c r="C78" s="13"/>
      <c r="D78" s="13"/>
      <c r="E78" s="13"/>
      <c r="F78" s="13"/>
      <c r="G78" s="13"/>
      <c r="H78" s="6"/>
      <c r="I78" s="6"/>
    </row>
    <row r="79" spans="1:9" ht="21" customHeight="1">
      <c r="A79" s="7"/>
      <c r="B79" s="13"/>
      <c r="C79" s="13"/>
      <c r="D79" s="13"/>
      <c r="E79" s="13"/>
      <c r="F79" s="13"/>
      <c r="G79" s="13"/>
      <c r="H79" s="6"/>
      <c r="I79" s="6"/>
    </row>
    <row r="80" spans="1:9" ht="21" customHeight="1">
      <c r="A80" s="7"/>
      <c r="B80" s="13"/>
      <c r="C80" s="13"/>
      <c r="D80" s="13"/>
      <c r="E80" s="13"/>
      <c r="F80" s="13"/>
      <c r="G80" s="13"/>
      <c r="H80" s="6"/>
      <c r="I80" s="6"/>
    </row>
    <row r="81" spans="1:9" ht="15">
      <c r="A81" s="31" t="s">
        <v>79</v>
      </c>
      <c r="B81" s="31"/>
      <c r="C81" s="31"/>
      <c r="D81" s="31"/>
      <c r="E81" s="31"/>
      <c r="F81" s="31"/>
      <c r="G81" s="31"/>
      <c r="H81" s="6"/>
      <c r="I81" s="6"/>
    </row>
    <row r="82" spans="1:9" ht="15" customHeight="1">
      <c r="A82" s="7"/>
      <c r="B82" s="13"/>
      <c r="C82" s="43" t="s">
        <v>80</v>
      </c>
      <c r="D82" s="13"/>
      <c r="E82" s="13"/>
      <c r="F82" s="13"/>
      <c r="G82" s="13"/>
      <c r="H82" s="6"/>
      <c r="I82" s="6"/>
    </row>
    <row r="83" spans="1:9" ht="15">
      <c r="A83" s="7" t="s">
        <v>81</v>
      </c>
      <c r="B83" s="21">
        <f>ROUND(G33-SUM(G11,G21,G29,G36),2)</f>
        <v>0</v>
      </c>
      <c r="C83" s="22" t="str">
        <f>IF(ROUND(B83,2)=0,"PASS","FAIL")</f>
        <v>PASS</v>
      </c>
      <c r="D83" s="13"/>
      <c r="E83" s="13"/>
      <c r="F83" s="13"/>
      <c r="G83" s="13"/>
      <c r="H83" s="6"/>
      <c r="I83" s="6"/>
    </row>
    <row r="84" spans="1:9" ht="15">
      <c r="A84" s="7" t="s">
        <v>82</v>
      </c>
      <c r="B84" s="21">
        <f>ROUND(B33/$B$40-Benchmark!$B$25,2)</f>
        <v>-0.01</v>
      </c>
      <c r="C84" s="22" t="str">
        <f>IF(ABS(B84)&lt;=0.01,"PASS","FAIL")</f>
        <v>PASS</v>
      </c>
      <c r="D84" s="13"/>
      <c r="E84" s="13"/>
      <c r="F84" s="13"/>
      <c r="G84" s="13"/>
      <c r="H84" s="6"/>
      <c r="I84" s="6"/>
    </row>
    <row r="85" spans="1:9" ht="15">
      <c r="A85" s="7" t="s">
        <v>83</v>
      </c>
      <c r="B85" s="21">
        <f>Assumptions!$B$20+Assumptions!$B$21+Assumptions!$B$22-Assumptions!$B$7</f>
        <v>0</v>
      </c>
      <c r="C85" s="22" t="str">
        <f>IF(ROUND(B85,2)=0,"PASS","FAIL")</f>
        <v>PASS</v>
      </c>
      <c r="D85" s="13"/>
      <c r="E85" s="13"/>
      <c r="F85" s="13"/>
      <c r="G85" s="13"/>
      <c r="H85" s="6"/>
      <c r="I85" s="6"/>
    </row>
    <row r="86" spans="1:9" ht="15">
      <c r="A86" s="7" t="s">
        <v>84</v>
      </c>
      <c r="B86" s="21">
        <f>ROUND(G33-E40,2)</f>
        <v>0</v>
      </c>
      <c r="C86" s="22" t="str">
        <f>IF(ROUND(B86,2)=0,"PASS","FAIL")</f>
        <v>PASS</v>
      </c>
      <c r="D86" s="13"/>
      <c r="E86" s="13"/>
      <c r="F86" s="13"/>
      <c r="G86" s="13"/>
      <c r="H86" s="6"/>
      <c r="I86" s="6"/>
    </row>
    <row r="87" spans="1:9" ht="15">
      <c r="A87" s="7" t="s">
        <v>85</v>
      </c>
      <c r="B87" s="21">
        <f>IF(AND(Assumptions!$B$34&gt;=0,Assumptions!$B$34&lt;=1,Assumptions!$B$35&lt;1,Assumptions!$B$36&lt;1),0,1)</f>
        <v>0</v>
      </c>
      <c r="C87" s="22" t="str">
        <f>IF(B87=0,"PASS","FAIL")</f>
        <v>PASS</v>
      </c>
      <c r="D87" s="13"/>
      <c r="E87" s="13"/>
      <c r="F87" s="13"/>
      <c r="G87" s="13"/>
      <c r="H87" s="6"/>
      <c r="I87" s="6"/>
    </row>
    <row r="88" spans="1:9" ht="14.25" customHeight="1">
      <c r="A88" s="50" t="s">
        <v>86</v>
      </c>
      <c r="B88" s="49"/>
      <c r="C88" s="49"/>
      <c r="D88" s="49"/>
      <c r="E88" s="49"/>
      <c r="F88" s="49"/>
      <c r="G88" s="49"/>
      <c r="H88" s="6"/>
      <c r="I88" s="6"/>
    </row>
    <row r="89" spans="1:9" ht="21" customHeight="1">
      <c r="A89" s="7"/>
      <c r="B89" s="13"/>
      <c r="C89" s="13"/>
      <c r="D89" s="13"/>
      <c r="E89" s="13"/>
      <c r="F89" s="13"/>
      <c r="G89" s="13"/>
      <c r="H89" s="6"/>
      <c r="I89" s="6"/>
    </row>
    <row r="90" spans="1:9" ht="21" customHeight="1">
      <c r="A90" s="7"/>
      <c r="B90" s="13"/>
      <c r="C90" s="13"/>
      <c r="D90" s="13"/>
      <c r="E90" s="13"/>
      <c r="F90" s="13"/>
      <c r="G90" s="13"/>
      <c r="H90" s="6"/>
      <c r="I90" s="6"/>
    </row>
    <row r="91" spans="1:9" ht="21" customHeight="1">
      <c r="A91" s="7"/>
      <c r="B91" s="13"/>
      <c r="C91" s="13"/>
      <c r="D91" s="13"/>
      <c r="E91" s="13"/>
      <c r="F91" s="13"/>
      <c r="G91" s="13"/>
      <c r="H91" s="6"/>
      <c r="I91" s="6"/>
    </row>
    <row r="92" spans="1:9" ht="21" customHeight="1">
      <c r="A92" s="7"/>
      <c r="B92" s="13"/>
      <c r="C92" s="13"/>
      <c r="D92" s="13"/>
      <c r="E92" s="13"/>
      <c r="F92" s="13"/>
      <c r="G92" s="13"/>
      <c r="H92" s="6"/>
      <c r="I92" s="6"/>
    </row>
    <row r="93" spans="1:9" ht="21" customHeight="1">
      <c r="A93" s="7"/>
      <c r="B93" s="13"/>
      <c r="C93" s="13"/>
      <c r="D93" s="13"/>
      <c r="E93" s="13"/>
      <c r="F93" s="13"/>
      <c r="G93" s="13"/>
      <c r="H93" s="6"/>
      <c r="I93" s="6"/>
    </row>
    <row r="94" spans="1:9" ht="21" customHeight="1">
      <c r="A94" s="7"/>
      <c r="B94" s="13"/>
      <c r="C94" s="13"/>
      <c r="D94" s="13"/>
      <c r="E94" s="13"/>
      <c r="F94" s="13"/>
      <c r="G94" s="13"/>
      <c r="H94" s="6"/>
      <c r="I94" s="6"/>
    </row>
    <row r="95" spans="1:9" ht="21" customHeight="1">
      <c r="A95" s="7"/>
      <c r="B95" s="13"/>
      <c r="C95" s="13"/>
      <c r="D95" s="13"/>
      <c r="E95" s="13"/>
      <c r="F95" s="13"/>
      <c r="G95" s="13"/>
      <c r="H95" s="6"/>
      <c r="I95" s="6"/>
    </row>
    <row r="96" spans="1:9" ht="21" customHeight="1">
      <c r="A96" s="7"/>
      <c r="B96" s="13"/>
      <c r="C96" s="13"/>
      <c r="D96" s="13"/>
      <c r="E96" s="13"/>
      <c r="F96" s="13"/>
      <c r="G96" s="13"/>
      <c r="H96" s="6"/>
      <c r="I96" s="6"/>
    </row>
    <row r="97" spans="1:9" ht="21" customHeight="1">
      <c r="A97" s="7"/>
      <c r="B97" s="13"/>
      <c r="C97" s="13"/>
      <c r="D97" s="13"/>
      <c r="E97" s="13"/>
      <c r="F97" s="13"/>
      <c r="G97" s="13"/>
      <c r="H97" s="6"/>
      <c r="I97" s="6"/>
    </row>
    <row r="98" spans="1:9" ht="21" customHeight="1">
      <c r="A98" s="7"/>
      <c r="B98" s="13"/>
      <c r="C98" s="13"/>
      <c r="D98" s="13"/>
      <c r="E98" s="13"/>
      <c r="F98" s="13"/>
      <c r="G98" s="13"/>
      <c r="H98" s="6"/>
      <c r="I98" s="6"/>
    </row>
  </sheetData>
  <sheetProtection algorithmName="SHA-512" hashValue="RoRN1WwwiO1bKrcPiMKrMl6TmWtilx3jYpbjALO94v9wQZ3tchlO/z9oP8QK0PHjI7LQgHKPRiFoqw2y3++Yhw==" saltValue="Pww2pE+3Cfs96X4NhY2Y5w==" spinCount="100000" sheet="1" objects="1" scenarios="1"/>
  <mergeCells count="6">
    <mergeCell ref="A88:G88"/>
    <mergeCell ref="A2:G2"/>
    <mergeCell ref="A3:G3"/>
    <mergeCell ref="A57:G57"/>
    <mergeCell ref="A59:G59"/>
    <mergeCell ref="A61:G61"/>
  </mergeCells>
  <conditionalFormatting sqref="B83">
    <cfRule type="cellIs" dxfId="5" priority="3" operator="notEqual">
      <formula>0</formula>
    </cfRule>
  </conditionalFormatting>
  <conditionalFormatting sqref="B85">
    <cfRule type="cellIs" dxfId="4" priority="4" operator="notEqual">
      <formula>0</formula>
    </cfRule>
  </conditionalFormatting>
  <conditionalFormatting sqref="B47:C47">
    <cfRule type="containsText" dxfId="3" priority="1" operator="containsText" text="n.a."/>
  </conditionalFormatting>
  <conditionalFormatting sqref="C83:C87">
    <cfRule type="cellIs" dxfId="2" priority="5" operator="equal">
      <formula>"PASS"</formula>
    </cfRule>
    <cfRule type="cellIs" dxfId="1" priority="6" operator="equal">
      <formula>"FAIL"</formula>
    </cfRule>
  </conditionalFormatting>
  <conditionalFormatting sqref="E55">
    <cfRule type="cellIs" dxfId="0" priority="2" operator="greaterThan">
      <formula>1</formula>
    </cfRule>
  </conditionalFormatting>
  <pageMargins left="0.74803149606299213" right="0.74803149606299213" top="0.98425196850393704" bottom="0.98425196850393704" header="0.51181102362204722" footer="0.51181102362204722"/>
  <pageSetup paperSize="9" scale="81" fitToHeight="0" orientation="landscape" r:id="rId1"/>
  <headerFooter>
    <oddFooter>&amp;RPage &amp;P of &amp;N</oddFooter>
  </headerFooter>
  <rowBreaks count="2" manualBreakCount="2">
    <brk id="37" max="16383" man="1"/>
    <brk id="6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BCF33-E62E-430A-9B9F-68A5562AEFF7}">
  <sheetPr>
    <pageSetUpPr fitToPage="1"/>
  </sheetPr>
  <dimension ref="A1:I99"/>
  <sheetViews>
    <sheetView showGridLines="0" workbookViewId="0">
      <pane ySplit="4" topLeftCell="A5" activePane="bottomLeft" state="frozen"/>
      <selection activeCell="I25" sqref="I25"/>
      <selection pane="bottomLeft" activeCell="E11" sqref="E11"/>
    </sheetView>
  </sheetViews>
  <sheetFormatPr defaultRowHeight="14.25"/>
  <cols>
    <col min="1" max="1" width="44" style="1" customWidth="1"/>
    <col min="2" max="2" width="17" style="1" customWidth="1"/>
    <col min="3" max="3" width="24" style="1" customWidth="1"/>
    <col min="4" max="4" width="3" style="1" customWidth="1"/>
    <col min="5" max="5" width="100" style="1" customWidth="1"/>
    <col min="6" max="7" width="17" style="1" customWidth="1"/>
    <col min="8" max="16384" width="9" style="1"/>
  </cols>
  <sheetData>
    <row r="1" spans="1:9" ht="21" customHeight="1">
      <c r="A1" s="32" t="s">
        <v>87</v>
      </c>
      <c r="B1" s="5"/>
      <c r="C1" s="5"/>
      <c r="D1" s="5"/>
      <c r="E1" s="5"/>
      <c r="F1" s="5"/>
      <c r="G1" s="5"/>
      <c r="H1" s="6"/>
      <c r="I1" s="6"/>
    </row>
    <row r="2" spans="1:9" ht="14.25" customHeight="1">
      <c r="A2" s="50" t="s">
        <v>88</v>
      </c>
      <c r="B2" s="49"/>
      <c r="C2" s="49"/>
      <c r="D2" s="49"/>
      <c r="E2" s="49"/>
      <c r="F2" s="7"/>
      <c r="G2" s="7"/>
      <c r="H2" s="6"/>
      <c r="I2" s="6"/>
    </row>
    <row r="3" spans="1:9" ht="6" customHeight="1">
      <c r="A3" s="7"/>
      <c r="B3" s="7"/>
      <c r="C3" s="7"/>
      <c r="D3" s="7"/>
      <c r="E3" s="7"/>
      <c r="F3" s="7"/>
      <c r="G3" s="7"/>
      <c r="H3" s="6"/>
      <c r="I3" s="6"/>
    </row>
    <row r="4" spans="1:9" ht="24.95" customHeight="1">
      <c r="A4" s="31" t="s">
        <v>89</v>
      </c>
      <c r="B4" s="31" t="s">
        <v>90</v>
      </c>
      <c r="C4" s="31" t="s">
        <v>91</v>
      </c>
      <c r="D4" s="31"/>
      <c r="E4" s="31" t="s">
        <v>92</v>
      </c>
      <c r="F4" s="7"/>
      <c r="G4" s="7"/>
      <c r="H4" s="6"/>
      <c r="I4" s="6"/>
    </row>
    <row r="5" spans="1:9">
      <c r="A5" s="7" t="s">
        <v>93</v>
      </c>
      <c r="B5" s="23">
        <v>80</v>
      </c>
      <c r="C5" s="18" t="s">
        <v>94</v>
      </c>
      <c r="D5" s="18"/>
      <c r="E5" s="15" t="s">
        <v>95</v>
      </c>
      <c r="F5" s="13"/>
      <c r="G5" s="13"/>
      <c r="H5" s="6"/>
      <c r="I5" s="6"/>
    </row>
    <row r="6" spans="1:9" ht="25.5">
      <c r="A6" s="7" t="s">
        <v>96</v>
      </c>
      <c r="B6" s="24">
        <v>0.95199999999999996</v>
      </c>
      <c r="C6" s="18" t="s">
        <v>97</v>
      </c>
      <c r="D6" s="18"/>
      <c r="E6" s="15" t="s">
        <v>98</v>
      </c>
      <c r="F6" s="13"/>
      <c r="G6" s="13"/>
      <c r="H6" s="6"/>
      <c r="I6" s="6"/>
    </row>
    <row r="7" spans="1:9">
      <c r="A7" s="7" t="s">
        <v>99</v>
      </c>
      <c r="B7" s="23">
        <v>365</v>
      </c>
      <c r="C7" s="18" t="s">
        <v>100</v>
      </c>
      <c r="D7" s="18"/>
      <c r="E7" s="15" t="s">
        <v>101</v>
      </c>
      <c r="F7" s="13"/>
      <c r="G7" s="13"/>
      <c r="H7" s="6"/>
      <c r="I7" s="6"/>
    </row>
    <row r="8" spans="1:9">
      <c r="A8" s="7" t="s">
        <v>102</v>
      </c>
      <c r="B8" s="24">
        <v>3.5000000000000003E-2</v>
      </c>
      <c r="C8" s="18" t="s">
        <v>97</v>
      </c>
      <c r="D8" s="18"/>
      <c r="E8" s="15" t="s">
        <v>103</v>
      </c>
      <c r="F8" s="13"/>
      <c r="G8" s="13"/>
      <c r="H8" s="6"/>
      <c r="I8" s="6"/>
    </row>
    <row r="9" spans="1:9" ht="25.5">
      <c r="A9" s="7" t="s">
        <v>104</v>
      </c>
      <c r="B9" s="25">
        <v>2.5499999999999998E-2</v>
      </c>
      <c r="C9" s="18" t="s">
        <v>97</v>
      </c>
      <c r="D9" s="18"/>
      <c r="E9" s="15" t="s">
        <v>105</v>
      </c>
      <c r="F9" s="13"/>
      <c r="G9" s="13"/>
      <c r="H9" s="6"/>
      <c r="I9" s="6"/>
    </row>
    <row r="10" spans="1:9">
      <c r="A10" s="7" t="s">
        <v>106</v>
      </c>
      <c r="B10" s="23">
        <v>9</v>
      </c>
      <c r="C10" s="18" t="s">
        <v>107</v>
      </c>
      <c r="D10" s="18"/>
      <c r="E10" s="15" t="s">
        <v>108</v>
      </c>
      <c r="F10" s="13"/>
      <c r="G10" s="13"/>
      <c r="H10" s="6"/>
      <c r="I10" s="6"/>
    </row>
    <row r="11" spans="1:9">
      <c r="A11" s="7" t="s">
        <v>109</v>
      </c>
      <c r="B11" s="24">
        <v>1</v>
      </c>
      <c r="C11" s="18" t="s">
        <v>97</v>
      </c>
      <c r="D11" s="18"/>
      <c r="E11" s="15" t="s">
        <v>110</v>
      </c>
      <c r="F11" s="13"/>
      <c r="G11" s="13"/>
      <c r="H11" s="6"/>
      <c r="I11" s="6"/>
    </row>
    <row r="12" spans="1:9" ht="25.5">
      <c r="A12" s="7" t="s">
        <v>111</v>
      </c>
      <c r="B12" s="25">
        <v>4.7500000000000001E-2</v>
      </c>
      <c r="C12" s="18" t="s">
        <v>97</v>
      </c>
      <c r="D12" s="18"/>
      <c r="E12" s="15" t="s">
        <v>112</v>
      </c>
      <c r="F12" s="13"/>
      <c r="G12" s="13"/>
      <c r="H12" s="6"/>
      <c r="I12" s="6"/>
    </row>
    <row r="13" spans="1:9">
      <c r="A13" s="7" t="s">
        <v>113</v>
      </c>
      <c r="B13" s="24">
        <v>1</v>
      </c>
      <c r="C13" s="18" t="s">
        <v>97</v>
      </c>
      <c r="D13" s="18"/>
      <c r="E13" s="15" t="s">
        <v>114</v>
      </c>
      <c r="F13" s="13"/>
      <c r="G13" s="13"/>
      <c r="H13" s="6"/>
      <c r="I13" s="6"/>
    </row>
    <row r="14" spans="1:9">
      <c r="A14" s="7" t="s">
        <v>115</v>
      </c>
      <c r="B14" s="24">
        <v>0.6</v>
      </c>
      <c r="C14" s="18" t="s">
        <v>97</v>
      </c>
      <c r="D14" s="18"/>
      <c r="E14" s="15" t="s">
        <v>116</v>
      </c>
      <c r="F14" s="13"/>
      <c r="G14" s="13"/>
      <c r="H14" s="6"/>
      <c r="I14" s="6"/>
    </row>
    <row r="15" spans="1:9">
      <c r="A15" s="7" t="s">
        <v>117</v>
      </c>
      <c r="B15" s="24">
        <v>0.7</v>
      </c>
      <c r="C15" s="18" t="s">
        <v>97</v>
      </c>
      <c r="D15" s="18"/>
      <c r="E15" s="15" t="s">
        <v>118</v>
      </c>
      <c r="F15" s="13"/>
      <c r="G15" s="13"/>
      <c r="H15" s="6"/>
      <c r="I15" s="6"/>
    </row>
    <row r="16" spans="1:9">
      <c r="A16" s="7" t="s">
        <v>119</v>
      </c>
      <c r="B16" s="26">
        <v>66.8</v>
      </c>
      <c r="C16" s="18" t="s">
        <v>120</v>
      </c>
      <c r="D16" s="18"/>
      <c r="E16" s="15" t="s">
        <v>121</v>
      </c>
      <c r="F16" s="13"/>
      <c r="G16" s="13"/>
      <c r="H16" s="6"/>
      <c r="I16" s="6"/>
    </row>
    <row r="17" spans="1:9">
      <c r="A17" s="7" t="s">
        <v>122</v>
      </c>
      <c r="B17" s="26">
        <v>1135.4000000000001</v>
      </c>
      <c r="C17" s="18" t="s">
        <v>123</v>
      </c>
      <c r="D17" s="18"/>
      <c r="E17" s="15" t="s">
        <v>124</v>
      </c>
      <c r="F17" s="13"/>
      <c r="G17" s="13"/>
      <c r="H17" s="6"/>
      <c r="I17" s="6"/>
    </row>
    <row r="18" spans="1:9">
      <c r="A18" s="7" t="s">
        <v>125</v>
      </c>
      <c r="B18" s="24">
        <v>0.85</v>
      </c>
      <c r="C18" s="18" t="s">
        <v>97</v>
      </c>
      <c r="D18" s="18"/>
      <c r="E18" s="15" t="s">
        <v>126</v>
      </c>
      <c r="F18" s="13"/>
      <c r="G18" s="13"/>
      <c r="H18" s="6"/>
      <c r="I18" s="6"/>
    </row>
    <row r="19" spans="1:9" ht="15">
      <c r="A19" s="7" t="s">
        <v>127</v>
      </c>
      <c r="B19" s="27">
        <f>Assumptions!$B$8/2</f>
        <v>1.7500000000000002E-2</v>
      </c>
      <c r="C19" s="18" t="s">
        <v>97</v>
      </c>
      <c r="D19" s="18"/>
      <c r="E19" s="15" t="s">
        <v>128</v>
      </c>
      <c r="F19" s="13"/>
      <c r="G19" s="13"/>
      <c r="H19" s="6"/>
      <c r="I19" s="6"/>
    </row>
    <row r="20" spans="1:9">
      <c r="A20" s="7" t="s">
        <v>129</v>
      </c>
      <c r="B20" s="23">
        <v>81</v>
      </c>
      <c r="C20" s="18" t="s">
        <v>130</v>
      </c>
      <c r="D20" s="18"/>
      <c r="E20" s="15" t="s">
        <v>131</v>
      </c>
      <c r="F20" s="13"/>
      <c r="G20" s="13"/>
      <c r="H20" s="6"/>
      <c r="I20" s="6"/>
    </row>
    <row r="21" spans="1:9">
      <c r="A21" s="7" t="s">
        <v>132</v>
      </c>
      <c r="B21" s="23">
        <v>181</v>
      </c>
      <c r="C21" s="18" t="s">
        <v>133</v>
      </c>
      <c r="D21" s="18"/>
      <c r="E21" s="15" t="s">
        <v>134</v>
      </c>
      <c r="F21" s="13"/>
      <c r="G21" s="13"/>
      <c r="H21" s="6"/>
      <c r="I21" s="6"/>
    </row>
    <row r="22" spans="1:9">
      <c r="A22" s="7" t="s">
        <v>135</v>
      </c>
      <c r="B22" s="23">
        <v>103</v>
      </c>
      <c r="C22" s="18" t="s">
        <v>136</v>
      </c>
      <c r="D22" s="18"/>
      <c r="E22" s="15" t="s">
        <v>134</v>
      </c>
      <c r="F22" s="13"/>
      <c r="G22" s="13"/>
      <c r="H22" s="6"/>
      <c r="I22" s="6"/>
    </row>
    <row r="23" spans="1:9" ht="25.5">
      <c r="A23" s="7" t="s">
        <v>137</v>
      </c>
      <c r="B23" s="26">
        <v>22.15</v>
      </c>
      <c r="C23" s="18" t="s">
        <v>120</v>
      </c>
      <c r="D23" s="18"/>
      <c r="E23" s="15" t="s">
        <v>138</v>
      </c>
      <c r="F23" s="13"/>
      <c r="G23" s="13"/>
      <c r="H23" s="6"/>
      <c r="I23" s="6"/>
    </row>
    <row r="24" spans="1:9">
      <c r="A24" s="7" t="s">
        <v>139</v>
      </c>
      <c r="B24" s="24">
        <v>3.5000000000000003E-2</v>
      </c>
      <c r="C24" s="18" t="s">
        <v>140</v>
      </c>
      <c r="D24" s="18"/>
      <c r="E24" s="15" t="s">
        <v>141</v>
      </c>
      <c r="F24" s="13"/>
      <c r="G24" s="13"/>
      <c r="H24" s="6"/>
      <c r="I24" s="6"/>
    </row>
    <row r="25" spans="1:9">
      <c r="A25" s="7" t="s">
        <v>142</v>
      </c>
      <c r="B25" s="24">
        <v>1</v>
      </c>
      <c r="C25" s="18" t="s">
        <v>97</v>
      </c>
      <c r="D25" s="18"/>
      <c r="E25" s="15" t="s">
        <v>143</v>
      </c>
      <c r="F25" s="13"/>
      <c r="G25" s="13"/>
      <c r="H25" s="6"/>
      <c r="I25" s="6"/>
    </row>
    <row r="26" spans="1:9">
      <c r="A26" s="7" t="s">
        <v>144</v>
      </c>
      <c r="B26" s="24">
        <v>1</v>
      </c>
      <c r="C26" s="18" t="s">
        <v>145</v>
      </c>
      <c r="D26" s="18"/>
      <c r="E26" s="15" t="s">
        <v>146</v>
      </c>
      <c r="F26" s="13"/>
      <c r="G26" s="13"/>
      <c r="H26" s="6"/>
      <c r="I26" s="6"/>
    </row>
    <row r="27" spans="1:9">
      <c r="A27" s="7" t="s">
        <v>147</v>
      </c>
      <c r="B27" s="24">
        <v>0.4</v>
      </c>
      <c r="C27" s="18" t="s">
        <v>97</v>
      </c>
      <c r="D27" s="18"/>
      <c r="E27" s="15" t="s">
        <v>148</v>
      </c>
      <c r="F27" s="13"/>
      <c r="G27" s="13"/>
      <c r="H27" s="6"/>
      <c r="I27" s="6"/>
    </row>
    <row r="28" spans="1:9">
      <c r="A28" s="7" t="s">
        <v>149</v>
      </c>
      <c r="B28" s="24">
        <v>0.5</v>
      </c>
      <c r="C28" s="18" t="s">
        <v>97</v>
      </c>
      <c r="D28" s="18"/>
      <c r="E28" s="15" t="s">
        <v>150</v>
      </c>
      <c r="F28" s="13"/>
      <c r="G28" s="13"/>
      <c r="H28" s="6"/>
      <c r="I28" s="6"/>
    </row>
    <row r="29" spans="1:9">
      <c r="A29" s="7" t="s">
        <v>151</v>
      </c>
      <c r="B29" s="24">
        <v>1</v>
      </c>
      <c r="C29" s="18" t="s">
        <v>152</v>
      </c>
      <c r="D29" s="18"/>
      <c r="E29" s="15" t="s">
        <v>153</v>
      </c>
      <c r="F29" s="13"/>
      <c r="G29" s="13"/>
      <c r="H29" s="6"/>
      <c r="I29" s="6"/>
    </row>
    <row r="30" spans="1:9">
      <c r="A30" s="7" t="s">
        <v>154</v>
      </c>
      <c r="B30" s="24">
        <v>0.9</v>
      </c>
      <c r="C30" s="18" t="s">
        <v>97</v>
      </c>
      <c r="D30" s="18"/>
      <c r="E30" s="15" t="s">
        <v>155</v>
      </c>
      <c r="F30" s="13"/>
      <c r="G30" s="13"/>
      <c r="H30" s="6"/>
      <c r="I30" s="6"/>
    </row>
    <row r="31" spans="1:9">
      <c r="A31" s="7" t="s">
        <v>156</v>
      </c>
      <c r="B31" s="24">
        <v>0.25</v>
      </c>
      <c r="C31" s="18" t="s">
        <v>157</v>
      </c>
      <c r="D31" s="18"/>
      <c r="E31" s="15" t="s">
        <v>158</v>
      </c>
      <c r="F31" s="13"/>
      <c r="G31" s="13"/>
      <c r="H31" s="6"/>
      <c r="I31" s="6"/>
    </row>
    <row r="32" spans="1:9" ht="25.5">
      <c r="A32" s="7" t="s">
        <v>159</v>
      </c>
      <c r="B32" s="28">
        <f>Assumptions!$B$8</f>
        <v>3.5000000000000003E-2</v>
      </c>
      <c r="C32" s="18" t="s">
        <v>97</v>
      </c>
      <c r="D32" s="18"/>
      <c r="E32" s="15" t="s">
        <v>160</v>
      </c>
      <c r="F32" s="13"/>
      <c r="G32" s="13"/>
      <c r="H32" s="6"/>
      <c r="I32" s="6"/>
    </row>
    <row r="33" spans="1:9">
      <c r="A33" s="7" t="s">
        <v>161</v>
      </c>
      <c r="B33" s="29">
        <v>0</v>
      </c>
      <c r="C33" s="18" t="s">
        <v>162</v>
      </c>
      <c r="D33" s="18"/>
      <c r="E33" s="15" t="s">
        <v>163</v>
      </c>
      <c r="F33" s="13"/>
      <c r="G33" s="13"/>
      <c r="H33" s="6"/>
      <c r="I33" s="6"/>
    </row>
    <row r="34" spans="1:9">
      <c r="A34" s="7" t="s">
        <v>164</v>
      </c>
      <c r="B34" s="24">
        <v>0.5</v>
      </c>
      <c r="C34" s="18" t="s">
        <v>165</v>
      </c>
      <c r="D34" s="18"/>
      <c r="E34" s="15" t="s">
        <v>166</v>
      </c>
      <c r="F34" s="13"/>
      <c r="G34" s="13"/>
      <c r="H34" s="6"/>
      <c r="I34" s="6"/>
    </row>
    <row r="35" spans="1:9">
      <c r="A35" s="7" t="s">
        <v>167</v>
      </c>
      <c r="B35" s="24">
        <v>0</v>
      </c>
      <c r="C35" s="18" t="s">
        <v>168</v>
      </c>
      <c r="D35" s="18"/>
      <c r="E35" s="15" t="s">
        <v>169</v>
      </c>
      <c r="F35" s="13"/>
      <c r="G35" s="13"/>
      <c r="H35" s="6"/>
      <c r="I35" s="6"/>
    </row>
    <row r="36" spans="1:9">
      <c r="A36" s="7" t="s">
        <v>170</v>
      </c>
      <c r="B36" s="24">
        <v>0</v>
      </c>
      <c r="C36" s="18" t="s">
        <v>171</v>
      </c>
      <c r="D36" s="18"/>
      <c r="E36" s="15" t="s">
        <v>172</v>
      </c>
      <c r="F36" s="13"/>
      <c r="G36" s="13"/>
      <c r="H36" s="6"/>
      <c r="I36" s="6"/>
    </row>
    <row r="37" spans="1:9">
      <c r="A37" s="7" t="s">
        <v>173</v>
      </c>
      <c r="B37" s="23">
        <v>1</v>
      </c>
      <c r="C37" s="18" t="s">
        <v>174</v>
      </c>
      <c r="D37" s="18"/>
      <c r="E37" s="15" t="s">
        <v>175</v>
      </c>
      <c r="F37" s="13"/>
      <c r="G37" s="13"/>
      <c r="H37" s="6"/>
      <c r="I37" s="6"/>
    </row>
    <row r="38" spans="1:9">
      <c r="A38" s="7" t="s">
        <v>176</v>
      </c>
      <c r="B38" s="29">
        <v>0</v>
      </c>
      <c r="C38" s="18" t="s">
        <v>177</v>
      </c>
      <c r="D38" s="18"/>
      <c r="E38" s="15" t="s">
        <v>178</v>
      </c>
      <c r="F38" s="13"/>
      <c r="G38" s="13"/>
      <c r="H38" s="6"/>
      <c r="I38" s="6"/>
    </row>
    <row r="39" spans="1:9" ht="21" customHeight="1">
      <c r="A39" s="7"/>
      <c r="B39" s="13"/>
      <c r="C39" s="18"/>
      <c r="D39" s="18"/>
      <c r="E39" s="18"/>
      <c r="F39" s="13"/>
      <c r="G39" s="13"/>
      <c r="H39" s="6"/>
      <c r="I39" s="6"/>
    </row>
    <row r="40" spans="1:9" ht="14.25" customHeight="1">
      <c r="A40" s="50" t="s">
        <v>179</v>
      </c>
      <c r="B40" s="49"/>
      <c r="C40" s="49"/>
      <c r="D40" s="49"/>
      <c r="E40" s="49"/>
      <c r="F40" s="13"/>
      <c r="G40" s="13"/>
      <c r="H40" s="6"/>
      <c r="I40" s="6"/>
    </row>
    <row r="41" spans="1:9" ht="21" customHeight="1">
      <c r="A41" s="7"/>
      <c r="B41" s="13"/>
      <c r="C41" s="18"/>
      <c r="D41" s="18"/>
      <c r="E41" s="18"/>
      <c r="F41" s="13"/>
      <c r="G41" s="13"/>
      <c r="H41" s="6"/>
      <c r="I41" s="6"/>
    </row>
    <row r="42" spans="1:9" ht="21" customHeight="1">
      <c r="A42" s="7"/>
      <c r="B42" s="13"/>
      <c r="C42" s="18"/>
      <c r="D42" s="18"/>
      <c r="E42" s="18"/>
      <c r="F42" s="13"/>
      <c r="G42" s="13"/>
      <c r="H42" s="6"/>
      <c r="I42" s="6"/>
    </row>
    <row r="43" spans="1:9" ht="21" customHeight="1">
      <c r="A43" s="7"/>
      <c r="B43" s="13"/>
      <c r="C43" s="18"/>
      <c r="D43" s="18"/>
      <c r="E43" s="18"/>
      <c r="F43" s="13"/>
      <c r="G43" s="13"/>
      <c r="H43" s="6"/>
      <c r="I43" s="6"/>
    </row>
    <row r="44" spans="1:9" ht="21" customHeight="1">
      <c r="A44" s="7"/>
      <c r="B44" s="13"/>
      <c r="C44" s="18"/>
      <c r="D44" s="18"/>
      <c r="E44" s="18"/>
      <c r="F44" s="13"/>
      <c r="G44" s="13"/>
      <c r="H44" s="6"/>
      <c r="I44" s="6"/>
    </row>
    <row r="45" spans="1:9" ht="21" customHeight="1">
      <c r="A45" s="7"/>
      <c r="B45" s="13"/>
      <c r="C45" s="18"/>
      <c r="D45" s="18"/>
      <c r="E45" s="18"/>
      <c r="F45" s="13"/>
      <c r="G45" s="13"/>
      <c r="H45" s="6"/>
      <c r="I45" s="6"/>
    </row>
    <row r="46" spans="1:9" ht="21" customHeight="1">
      <c r="A46" s="7"/>
      <c r="B46" s="13"/>
      <c r="C46" s="18"/>
      <c r="D46" s="18"/>
      <c r="E46" s="18"/>
      <c r="F46" s="13"/>
      <c r="G46" s="13"/>
      <c r="H46" s="6"/>
      <c r="I46" s="6"/>
    </row>
    <row r="47" spans="1:9" ht="21" customHeight="1">
      <c r="A47" s="7"/>
      <c r="B47" s="13"/>
      <c r="C47" s="18"/>
      <c r="D47" s="18"/>
      <c r="E47" s="18"/>
      <c r="F47" s="13"/>
      <c r="G47" s="13"/>
      <c r="H47" s="6"/>
      <c r="I47" s="6"/>
    </row>
    <row r="48" spans="1:9" ht="21" customHeight="1">
      <c r="A48" s="7"/>
      <c r="B48" s="13"/>
      <c r="C48" s="18"/>
      <c r="D48" s="18"/>
      <c r="E48" s="18"/>
      <c r="F48" s="13"/>
      <c r="G48" s="13"/>
      <c r="H48" s="6"/>
      <c r="I48" s="6"/>
    </row>
    <row r="49" spans="1:9" ht="21" customHeight="1">
      <c r="A49" s="7"/>
      <c r="B49" s="13"/>
      <c r="C49" s="18"/>
      <c r="D49" s="18"/>
      <c r="E49" s="18"/>
      <c r="F49" s="13"/>
      <c r="G49" s="13"/>
      <c r="H49" s="6"/>
      <c r="I49" s="6"/>
    </row>
    <row r="50" spans="1:9" ht="21" customHeight="1">
      <c r="A50" s="7"/>
      <c r="B50" s="13"/>
      <c r="C50" s="18"/>
      <c r="D50" s="18"/>
      <c r="E50" s="18"/>
      <c r="F50" s="13"/>
      <c r="G50" s="13"/>
      <c r="H50" s="6"/>
      <c r="I50" s="6"/>
    </row>
    <row r="51" spans="1:9" ht="21" customHeight="1">
      <c r="A51" s="7"/>
      <c r="B51" s="13"/>
      <c r="C51" s="18"/>
      <c r="D51" s="18"/>
      <c r="E51" s="18"/>
      <c r="F51" s="13"/>
      <c r="G51" s="13"/>
      <c r="H51" s="6"/>
      <c r="I51" s="6"/>
    </row>
    <row r="52" spans="1:9" ht="21" customHeight="1">
      <c r="A52" s="7"/>
      <c r="B52" s="13"/>
      <c r="C52" s="18"/>
      <c r="D52" s="18"/>
      <c r="E52" s="18"/>
      <c r="F52" s="13"/>
      <c r="G52" s="13"/>
      <c r="H52" s="6"/>
      <c r="I52" s="6"/>
    </row>
    <row r="53" spans="1:9" ht="21" customHeight="1">
      <c r="A53" s="7"/>
      <c r="B53" s="13"/>
      <c r="C53" s="18"/>
      <c r="D53" s="18"/>
      <c r="E53" s="18"/>
      <c r="F53" s="13"/>
      <c r="G53" s="13"/>
      <c r="H53" s="6"/>
      <c r="I53" s="6"/>
    </row>
    <row r="54" spans="1:9" ht="21" customHeight="1">
      <c r="A54" s="7"/>
      <c r="B54" s="13"/>
      <c r="C54" s="18"/>
      <c r="D54" s="18"/>
      <c r="E54" s="18"/>
      <c r="F54" s="13"/>
      <c r="G54" s="13"/>
      <c r="H54" s="6"/>
      <c r="I54" s="6"/>
    </row>
    <row r="55" spans="1:9" ht="21" customHeight="1">
      <c r="A55" s="7"/>
      <c r="B55" s="13"/>
      <c r="C55" s="18"/>
      <c r="D55" s="18"/>
      <c r="E55" s="18"/>
      <c r="F55" s="13"/>
      <c r="G55" s="13"/>
      <c r="H55" s="6"/>
      <c r="I55" s="6"/>
    </row>
    <row r="56" spans="1:9" ht="21" customHeight="1">
      <c r="A56" s="7"/>
      <c r="B56" s="13"/>
      <c r="C56" s="18"/>
      <c r="D56" s="18"/>
      <c r="E56" s="18"/>
      <c r="F56" s="13"/>
      <c r="G56" s="13"/>
      <c r="H56" s="6"/>
      <c r="I56" s="6"/>
    </row>
    <row r="57" spans="1:9" ht="21" customHeight="1">
      <c r="A57" s="7"/>
      <c r="B57" s="13"/>
      <c r="C57" s="18"/>
      <c r="D57" s="18"/>
      <c r="E57" s="18"/>
      <c r="F57" s="13"/>
      <c r="G57" s="13"/>
      <c r="H57" s="6"/>
      <c r="I57" s="6"/>
    </row>
    <row r="58" spans="1:9" ht="21" customHeight="1">
      <c r="A58" s="7"/>
      <c r="B58" s="13"/>
      <c r="C58" s="18"/>
      <c r="D58" s="18"/>
      <c r="E58" s="18"/>
      <c r="F58" s="13"/>
      <c r="G58" s="13"/>
      <c r="H58" s="6"/>
      <c r="I58" s="6"/>
    </row>
    <row r="59" spans="1:9" ht="21" customHeight="1">
      <c r="A59" s="7"/>
      <c r="B59" s="13"/>
      <c r="C59" s="18"/>
      <c r="D59" s="18"/>
      <c r="E59" s="18"/>
      <c r="F59" s="13"/>
      <c r="G59" s="13"/>
      <c r="H59" s="6"/>
      <c r="I59" s="6"/>
    </row>
    <row r="60" spans="1:9" ht="21" customHeight="1">
      <c r="A60" s="7"/>
      <c r="B60" s="13"/>
      <c r="C60" s="18"/>
      <c r="D60" s="18"/>
      <c r="E60" s="18"/>
      <c r="F60" s="13"/>
      <c r="G60" s="13"/>
      <c r="H60" s="6"/>
      <c r="I60" s="6"/>
    </row>
    <row r="61" spans="1:9" ht="21" customHeight="1">
      <c r="A61" s="7"/>
      <c r="B61" s="13"/>
      <c r="C61" s="18"/>
      <c r="D61" s="18"/>
      <c r="E61" s="18"/>
      <c r="F61" s="13"/>
      <c r="G61" s="13"/>
      <c r="H61" s="6"/>
      <c r="I61" s="6"/>
    </row>
    <row r="62" spans="1:9" ht="21" customHeight="1">
      <c r="A62" s="7"/>
      <c r="B62" s="13"/>
      <c r="C62" s="18"/>
      <c r="D62" s="18"/>
      <c r="E62" s="18"/>
      <c r="F62" s="13"/>
      <c r="G62" s="13"/>
      <c r="H62" s="6"/>
      <c r="I62" s="6"/>
    </row>
    <row r="63" spans="1:9" ht="21" customHeight="1">
      <c r="A63" s="7"/>
      <c r="B63" s="13"/>
      <c r="C63" s="18"/>
      <c r="D63" s="18"/>
      <c r="E63" s="18"/>
      <c r="F63" s="13"/>
      <c r="G63" s="13"/>
      <c r="H63" s="6"/>
      <c r="I63" s="6"/>
    </row>
    <row r="64" spans="1:9" ht="21" customHeight="1">
      <c r="A64" s="7"/>
      <c r="B64" s="13"/>
      <c r="C64" s="18"/>
      <c r="D64" s="18"/>
      <c r="E64" s="18"/>
      <c r="F64" s="13"/>
      <c r="G64" s="13"/>
      <c r="H64" s="6"/>
      <c r="I64" s="6"/>
    </row>
    <row r="65" spans="1:9" ht="21" customHeight="1">
      <c r="A65" s="7"/>
      <c r="B65" s="13"/>
      <c r="C65" s="18"/>
      <c r="D65" s="18"/>
      <c r="E65" s="18"/>
      <c r="F65" s="13"/>
      <c r="G65" s="13"/>
      <c r="H65" s="6"/>
      <c r="I65" s="6"/>
    </row>
    <row r="66" spans="1:9" ht="21" customHeight="1">
      <c r="A66" s="7"/>
      <c r="B66" s="13"/>
      <c r="C66" s="18"/>
      <c r="D66" s="18"/>
      <c r="E66" s="18"/>
      <c r="F66" s="13"/>
      <c r="G66" s="13"/>
      <c r="H66" s="6"/>
      <c r="I66" s="6"/>
    </row>
    <row r="67" spans="1:9" ht="21" customHeight="1">
      <c r="A67" s="7"/>
      <c r="B67" s="13"/>
      <c r="C67" s="18"/>
      <c r="D67" s="18"/>
      <c r="E67" s="18"/>
      <c r="F67" s="13"/>
      <c r="G67" s="13"/>
      <c r="H67" s="6"/>
      <c r="I67" s="6"/>
    </row>
    <row r="68" spans="1:9" ht="21" customHeight="1">
      <c r="A68" s="7"/>
      <c r="B68" s="13"/>
      <c r="C68" s="18"/>
      <c r="D68" s="18"/>
      <c r="E68" s="18"/>
      <c r="F68" s="13"/>
      <c r="G68" s="13"/>
      <c r="H68" s="6"/>
      <c r="I68" s="6"/>
    </row>
    <row r="69" spans="1:9" ht="21" customHeight="1">
      <c r="A69" s="7"/>
      <c r="B69" s="13"/>
      <c r="C69" s="18"/>
      <c r="D69" s="18"/>
      <c r="E69" s="18"/>
      <c r="F69" s="13"/>
      <c r="G69" s="13"/>
      <c r="H69" s="6"/>
      <c r="I69" s="6"/>
    </row>
    <row r="70" spans="1:9" ht="21" customHeight="1">
      <c r="A70" s="7"/>
      <c r="B70" s="13"/>
      <c r="C70" s="18"/>
      <c r="D70" s="18"/>
      <c r="E70" s="18"/>
      <c r="F70" s="13"/>
      <c r="G70" s="13"/>
      <c r="H70" s="6"/>
      <c r="I70" s="6"/>
    </row>
    <row r="71" spans="1:9" ht="21" customHeight="1">
      <c r="A71" s="7"/>
      <c r="B71" s="13"/>
      <c r="C71" s="18"/>
      <c r="D71" s="18"/>
      <c r="E71" s="18"/>
      <c r="F71" s="13"/>
      <c r="G71" s="13"/>
      <c r="H71" s="6"/>
      <c r="I71" s="6"/>
    </row>
    <row r="72" spans="1:9" ht="21" customHeight="1">
      <c r="A72" s="7"/>
      <c r="B72" s="13"/>
      <c r="C72" s="18"/>
      <c r="D72" s="18"/>
      <c r="E72" s="18"/>
      <c r="F72" s="13"/>
      <c r="G72" s="13"/>
      <c r="H72" s="6"/>
      <c r="I72" s="6"/>
    </row>
    <row r="73" spans="1:9" ht="21" customHeight="1">
      <c r="A73" s="7"/>
      <c r="B73" s="13"/>
      <c r="C73" s="18"/>
      <c r="D73" s="18"/>
      <c r="E73" s="18"/>
      <c r="F73" s="13"/>
      <c r="G73" s="13"/>
      <c r="H73" s="6"/>
      <c r="I73" s="6"/>
    </row>
    <row r="74" spans="1:9" ht="21" customHeight="1">
      <c r="A74" s="7"/>
      <c r="B74" s="13"/>
      <c r="C74" s="18"/>
      <c r="D74" s="18"/>
      <c r="E74" s="18"/>
      <c r="F74" s="13"/>
      <c r="G74" s="13"/>
      <c r="H74" s="6"/>
      <c r="I74" s="6"/>
    </row>
    <row r="75" spans="1:9" ht="21" customHeight="1">
      <c r="A75" s="7"/>
      <c r="B75" s="13"/>
      <c r="C75" s="18"/>
      <c r="D75" s="18"/>
      <c r="E75" s="18"/>
      <c r="F75" s="13"/>
      <c r="G75" s="13"/>
      <c r="H75" s="6"/>
      <c r="I75" s="6"/>
    </row>
    <row r="76" spans="1:9" ht="21" customHeight="1">
      <c r="A76" s="7"/>
      <c r="B76" s="13"/>
      <c r="C76" s="18"/>
      <c r="D76" s="18"/>
      <c r="E76" s="18"/>
      <c r="F76" s="13"/>
      <c r="G76" s="13"/>
      <c r="H76" s="6"/>
      <c r="I76" s="6"/>
    </row>
    <row r="77" spans="1:9" ht="21" customHeight="1">
      <c r="A77" s="7"/>
      <c r="B77" s="13"/>
      <c r="C77" s="18"/>
      <c r="D77" s="18"/>
      <c r="E77" s="18"/>
      <c r="F77" s="13"/>
      <c r="G77" s="13"/>
      <c r="H77" s="6"/>
      <c r="I77" s="6"/>
    </row>
    <row r="78" spans="1:9" ht="21" customHeight="1">
      <c r="A78" s="7"/>
      <c r="B78" s="13"/>
      <c r="C78" s="18"/>
      <c r="D78" s="18"/>
      <c r="E78" s="18"/>
      <c r="F78" s="13"/>
      <c r="G78" s="13"/>
      <c r="H78" s="6"/>
      <c r="I78" s="6"/>
    </row>
    <row r="79" spans="1:9" ht="21" customHeight="1">
      <c r="A79" s="7"/>
      <c r="B79" s="13"/>
      <c r="C79" s="18"/>
      <c r="D79" s="18"/>
      <c r="E79" s="18"/>
      <c r="F79" s="13"/>
      <c r="G79" s="13"/>
      <c r="H79" s="6"/>
      <c r="I79" s="6"/>
    </row>
    <row r="80" spans="1:9" ht="21" customHeight="1">
      <c r="A80" s="7"/>
      <c r="B80" s="13"/>
      <c r="C80" s="18"/>
      <c r="D80" s="18"/>
      <c r="E80" s="18"/>
      <c r="F80" s="13"/>
      <c r="G80" s="13"/>
      <c r="H80" s="6"/>
      <c r="I80" s="6"/>
    </row>
    <row r="81" spans="1:9" ht="21" customHeight="1">
      <c r="A81" s="7"/>
      <c r="B81" s="13"/>
      <c r="C81" s="18"/>
      <c r="D81" s="18"/>
      <c r="E81" s="18"/>
      <c r="F81" s="13"/>
      <c r="G81" s="13"/>
      <c r="H81" s="6"/>
      <c r="I81" s="6"/>
    </row>
    <row r="82" spans="1:9" ht="21" customHeight="1">
      <c r="A82" s="7"/>
      <c r="B82" s="13"/>
      <c r="C82" s="18"/>
      <c r="D82" s="18"/>
      <c r="E82" s="18"/>
      <c r="F82" s="13"/>
      <c r="G82" s="13"/>
      <c r="H82" s="6"/>
      <c r="I82" s="6"/>
    </row>
    <row r="83" spans="1:9" ht="21" customHeight="1">
      <c r="A83" s="7"/>
      <c r="B83" s="13"/>
      <c r="C83" s="18"/>
      <c r="D83" s="18"/>
      <c r="E83" s="18"/>
      <c r="F83" s="13"/>
      <c r="G83" s="13"/>
      <c r="H83" s="6"/>
      <c r="I83" s="6"/>
    </row>
    <row r="84" spans="1:9" ht="21" customHeight="1">
      <c r="A84" s="7"/>
      <c r="B84" s="13"/>
      <c r="C84" s="18"/>
      <c r="D84" s="18"/>
      <c r="E84" s="18"/>
      <c r="F84" s="13"/>
      <c r="G84" s="13"/>
      <c r="H84" s="6"/>
      <c r="I84" s="6"/>
    </row>
    <row r="85" spans="1:9" ht="21" customHeight="1">
      <c r="A85" s="7"/>
      <c r="B85" s="13"/>
      <c r="C85" s="18"/>
      <c r="D85" s="18"/>
      <c r="E85" s="18"/>
      <c r="F85" s="13"/>
      <c r="G85" s="13"/>
      <c r="H85" s="6"/>
      <c r="I85" s="6"/>
    </row>
    <row r="86" spans="1:9" ht="21" customHeight="1">
      <c r="A86" s="7"/>
      <c r="B86" s="13"/>
      <c r="C86" s="18"/>
      <c r="D86" s="18"/>
      <c r="E86" s="18"/>
      <c r="F86" s="13"/>
      <c r="G86" s="13"/>
      <c r="H86" s="6"/>
      <c r="I86" s="6"/>
    </row>
    <row r="87" spans="1:9" ht="21" customHeight="1">
      <c r="A87" s="7"/>
      <c r="B87" s="13"/>
      <c r="C87" s="18"/>
      <c r="D87" s="18"/>
      <c r="E87" s="18"/>
      <c r="F87" s="13"/>
      <c r="G87" s="13"/>
      <c r="H87" s="6"/>
      <c r="I87" s="6"/>
    </row>
    <row r="88" spans="1:9" ht="21" customHeight="1">
      <c r="A88" s="7"/>
      <c r="B88" s="13"/>
      <c r="C88" s="18"/>
      <c r="D88" s="18"/>
      <c r="E88" s="18"/>
      <c r="F88" s="13"/>
      <c r="G88" s="13"/>
      <c r="H88" s="6"/>
      <c r="I88" s="6"/>
    </row>
    <row r="89" spans="1:9" ht="21" customHeight="1">
      <c r="A89" s="7"/>
      <c r="B89" s="13"/>
      <c r="C89" s="18"/>
      <c r="D89" s="18"/>
      <c r="E89" s="18"/>
      <c r="F89" s="13"/>
      <c r="G89" s="13"/>
      <c r="H89" s="6"/>
      <c r="I89" s="6"/>
    </row>
    <row r="90" spans="1:9" ht="21" customHeight="1">
      <c r="A90" s="7"/>
      <c r="B90" s="13"/>
      <c r="C90" s="18"/>
      <c r="D90" s="18"/>
      <c r="E90" s="18"/>
      <c r="F90" s="13"/>
      <c r="G90" s="13"/>
      <c r="H90" s="6"/>
      <c r="I90" s="6"/>
    </row>
    <row r="91" spans="1:9" ht="21" customHeight="1">
      <c r="A91" s="7"/>
      <c r="B91" s="13"/>
      <c r="C91" s="18"/>
      <c r="D91" s="18"/>
      <c r="E91" s="18"/>
      <c r="F91" s="13"/>
      <c r="G91" s="13"/>
      <c r="H91" s="6"/>
      <c r="I91" s="6"/>
    </row>
    <row r="92" spans="1:9" ht="21" customHeight="1">
      <c r="A92" s="7"/>
      <c r="B92" s="13"/>
      <c r="C92" s="18"/>
      <c r="D92" s="18"/>
      <c r="E92" s="18"/>
      <c r="F92" s="13"/>
      <c r="G92" s="13"/>
      <c r="H92" s="6"/>
      <c r="I92" s="6"/>
    </row>
    <row r="93" spans="1:9" ht="21" customHeight="1">
      <c r="A93" s="7"/>
      <c r="B93" s="13"/>
      <c r="C93" s="18"/>
      <c r="D93" s="18"/>
      <c r="E93" s="18"/>
      <c r="F93" s="13"/>
      <c r="G93" s="13"/>
      <c r="H93" s="6"/>
      <c r="I93" s="6"/>
    </row>
    <row r="94" spans="1:9" ht="21" customHeight="1">
      <c r="A94" s="7"/>
      <c r="B94" s="13"/>
      <c r="C94" s="18"/>
      <c r="D94" s="18"/>
      <c r="E94" s="18"/>
      <c r="F94" s="13"/>
      <c r="G94" s="13"/>
      <c r="H94" s="6"/>
      <c r="I94" s="6"/>
    </row>
    <row r="95" spans="1:9" ht="21" customHeight="1">
      <c r="A95" s="7"/>
      <c r="B95" s="13"/>
      <c r="C95" s="18"/>
      <c r="D95" s="18"/>
      <c r="E95" s="18"/>
      <c r="F95" s="13"/>
      <c r="G95" s="13"/>
      <c r="H95" s="6"/>
      <c r="I95" s="6"/>
    </row>
    <row r="96" spans="1:9" ht="21" customHeight="1">
      <c r="A96" s="7"/>
      <c r="B96" s="13"/>
      <c r="C96" s="18"/>
      <c r="D96" s="18"/>
      <c r="E96" s="18"/>
      <c r="F96" s="13"/>
      <c r="G96" s="13"/>
      <c r="H96" s="6"/>
      <c r="I96" s="6"/>
    </row>
    <row r="97" spans="1:9" ht="21" customHeight="1">
      <c r="A97" s="7"/>
      <c r="B97" s="13"/>
      <c r="C97" s="18"/>
      <c r="D97" s="18"/>
      <c r="E97" s="18"/>
      <c r="F97" s="13"/>
      <c r="G97" s="13"/>
      <c r="H97" s="6"/>
      <c r="I97" s="6"/>
    </row>
    <row r="98" spans="1:9" ht="21" customHeight="1">
      <c r="A98" s="7"/>
      <c r="B98" s="13"/>
      <c r="C98" s="18"/>
      <c r="D98" s="18"/>
      <c r="E98" s="18"/>
      <c r="F98" s="13"/>
      <c r="G98" s="13"/>
      <c r="H98" s="6"/>
      <c r="I98" s="6"/>
    </row>
    <row r="99" spans="1:9" ht="21" customHeight="1">
      <c r="A99" s="7"/>
      <c r="B99" s="13"/>
      <c r="C99" s="18"/>
      <c r="D99" s="18"/>
      <c r="E99" s="18"/>
      <c r="F99" s="13"/>
      <c r="G99" s="13"/>
      <c r="H99" s="6"/>
      <c r="I99" s="6"/>
    </row>
  </sheetData>
  <sheetProtection algorithmName="SHA-512" hashValue="DvIMYZ+R3BEO4o5+EWKgy0m8KjFP5fjQwQWo56s9QcMduawTjgnJTCkh0RhCOJHPSQVo4SEZrklkFcYaJiwksQ==" saltValue="L3wdEu5i2ng8ad4fDhwQ0A==" spinCount="100000" sheet="1" objects="1" scenarios="1"/>
  <mergeCells count="2">
    <mergeCell ref="A2:E2"/>
    <mergeCell ref="A40:E40"/>
  </mergeCells>
  <dataValidations count="8">
    <dataValidation type="decimal" operator="greaterThanOrEqual" allowBlank="1" showInputMessage="1" showErrorMessage="1" errorTitle="Dollar amount" error="Enter a dollar amount of zero or more." sqref="B16:B17 B38" xr:uid="{0B91154A-6C60-4E95-9E7C-B1B3640A601B}">
      <formula1>0</formula1>
    </dataValidation>
    <dataValidation type="whole" allowBlank="1" showInputMessage="1" showErrorMessage="1" errorTitle="Months of uplift" error="Enter a whole number of months between 0 and 12." sqref="B10" xr:uid="{184631DA-AAB7-43E7-A5CF-1D20E614390F}">
      <formula1>0</formula1>
      <formula2>12</formula2>
    </dataValidation>
    <dataValidation type="whole" allowBlank="1" showInputMessage="1" showErrorMessage="1" errorTitle="Days in financial year" error="Enter 365 or 366." sqref="B7" xr:uid="{6AD72599-0B5D-4DE1-B2D6-A695AB953926}">
      <formula1>365</formula1>
      <formula2>366</formula2>
    </dataValidation>
    <dataValidation type="whole" allowBlank="1" showInputMessage="1" showErrorMessage="1" errorTitle="Available beds" error="Enter a whole number of beds between 1 and 2000." sqref="B5" xr:uid="{18EF9D81-0C80-44AA-8C1F-91C007F04414}">
      <formula1>1</formula1>
      <formula2>2000</formula2>
    </dataValidation>
    <dataValidation type="decimal" allowBlank="1" showInputMessage="1" showErrorMessage="1" errorTitle="Enter a decimal fraction" error="Rates are stored as fractions. Enter 0.035 for 3.5 per cent, not 3.5." promptTitle="Decimal fraction" prompt="Between 0 and 1. Enter 0.035 for 3.5 per cent." sqref="B8:B9 B12 B19 B24 B32" xr:uid="{8C3AA821-A31A-405B-A6BD-513C06FB0417}">
      <formula1>0</formula1>
      <formula2>1</formula2>
    </dataValidation>
    <dataValidation type="decimal" sqref="B35:B36" xr:uid="{B3463486-C05E-4D6B-A1F0-2AAF762FFE29}">
      <formula1>0</formula1>
      <formula2>0.99</formula2>
    </dataValidation>
    <dataValidation type="decimal" sqref="B6 B34 B25:B31 B18 B13:B15 B11" xr:uid="{B12744E6-D081-472A-93AB-F7E8ECD2176F}">
      <formula1>0</formula1>
      <formula2>1</formula2>
    </dataValidation>
    <dataValidation type="list" sqref="B37" xr:uid="{9F5E749E-88D2-4043-A924-91D241287909}">
      <formula1>"1,2"</formula1>
    </dataValidation>
  </dataValidations>
  <pageMargins left="0.74803149606299213" right="0.74803149606299213" top="0.98425196850393704" bottom="0.98425196850393704" header="0.51181102362204722" footer="0.51181102362204722"/>
  <pageSetup paperSize="9" scale="63" orientation="landscape" r:id="rId1"/>
  <headerFooter>
    <oddFooter>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39B5E-B522-4066-94B1-9936690040DF}">
  <sheetPr>
    <pageSetUpPr fitToPage="1"/>
  </sheetPr>
  <dimension ref="A1:I98"/>
  <sheetViews>
    <sheetView showGridLines="0" workbookViewId="0">
      <pane ySplit="4" topLeftCell="A5" activePane="bottomLeft" state="frozen"/>
      <selection activeCell="I25" sqref="I25"/>
      <selection pane="bottomLeft" activeCell="C15" sqref="C15"/>
    </sheetView>
  </sheetViews>
  <sheetFormatPr defaultRowHeight="14.25"/>
  <cols>
    <col min="1" max="1" width="44" style="1" customWidth="1"/>
    <col min="2" max="2" width="17" style="1" customWidth="1"/>
    <col min="3" max="3" width="20" style="1" customWidth="1"/>
    <col min="4" max="4" width="3" style="1" customWidth="1"/>
    <col min="5" max="5" width="94" style="1" customWidth="1"/>
    <col min="6" max="7" width="17" style="1" customWidth="1"/>
    <col min="8" max="16384" width="9" style="1"/>
  </cols>
  <sheetData>
    <row r="1" spans="1:9" ht="21" customHeight="1">
      <c r="A1" s="32" t="s">
        <v>180</v>
      </c>
      <c r="B1" s="5"/>
      <c r="C1" s="5"/>
      <c r="D1" s="5"/>
      <c r="E1" s="5"/>
      <c r="F1" s="5"/>
      <c r="G1" s="5"/>
      <c r="H1" s="6"/>
      <c r="I1" s="6"/>
    </row>
    <row r="2" spans="1:9" ht="14.25" customHeight="1">
      <c r="A2" s="50" t="s">
        <v>181</v>
      </c>
      <c r="B2" s="50"/>
      <c r="C2" s="50"/>
      <c r="D2" s="50"/>
      <c r="E2" s="50"/>
      <c r="F2" s="7"/>
      <c r="G2" s="7"/>
      <c r="H2" s="6"/>
      <c r="I2" s="6"/>
    </row>
    <row r="3" spans="1:9" ht="6" customHeight="1">
      <c r="A3" s="7"/>
      <c r="B3" s="7"/>
      <c r="C3" s="7"/>
      <c r="D3" s="7"/>
      <c r="E3" s="7"/>
      <c r="F3" s="7"/>
      <c r="G3" s="7"/>
      <c r="H3" s="6"/>
      <c r="I3" s="6"/>
    </row>
    <row r="4" spans="1:9" ht="21" customHeight="1">
      <c r="A4" s="31" t="s">
        <v>182</v>
      </c>
      <c r="B4" s="31" t="s">
        <v>183</v>
      </c>
      <c r="C4" s="31" t="s">
        <v>184</v>
      </c>
      <c r="D4" s="31"/>
      <c r="E4" s="31" t="s">
        <v>185</v>
      </c>
      <c r="F4" s="7"/>
      <c r="G4" s="7"/>
      <c r="H4" s="6"/>
      <c r="I4" s="6"/>
    </row>
    <row r="5" spans="1:9">
      <c r="A5" s="7" t="s">
        <v>20</v>
      </c>
      <c r="B5" s="26">
        <v>316.01</v>
      </c>
      <c r="C5" s="18" t="s">
        <v>120</v>
      </c>
      <c r="D5" s="18"/>
      <c r="E5" s="15" t="s">
        <v>186</v>
      </c>
      <c r="F5" s="13"/>
      <c r="G5" s="13"/>
      <c r="H5" s="6"/>
      <c r="I5" s="6"/>
    </row>
    <row r="6" spans="1:9">
      <c r="A6" s="7" t="s">
        <v>187</v>
      </c>
      <c r="B6" s="26">
        <v>250.16</v>
      </c>
      <c r="C6" s="18" t="s">
        <v>120</v>
      </c>
      <c r="D6" s="18"/>
      <c r="E6" s="15" t="s">
        <v>188</v>
      </c>
      <c r="F6" s="13"/>
      <c r="G6" s="13"/>
      <c r="H6" s="6"/>
      <c r="I6" s="6"/>
    </row>
    <row r="7" spans="1:9">
      <c r="A7" s="7" t="s">
        <v>189</v>
      </c>
      <c r="B7" s="26">
        <v>26.92</v>
      </c>
      <c r="C7" s="18" t="s">
        <v>120</v>
      </c>
      <c r="D7" s="18"/>
      <c r="E7" s="15" t="s">
        <v>190</v>
      </c>
      <c r="F7" s="13"/>
      <c r="G7" s="13"/>
      <c r="H7" s="6"/>
      <c r="I7" s="6"/>
    </row>
    <row r="8" spans="1:9">
      <c r="A8" s="7" t="s">
        <v>22</v>
      </c>
      <c r="B8" s="26">
        <v>11.62</v>
      </c>
      <c r="C8" s="18" t="s">
        <v>120</v>
      </c>
      <c r="D8" s="18"/>
      <c r="E8" s="15" t="s">
        <v>188</v>
      </c>
      <c r="F8" s="13"/>
      <c r="G8" s="13"/>
      <c r="H8" s="6"/>
      <c r="I8" s="6"/>
    </row>
    <row r="9" spans="1:9">
      <c r="A9" s="7" t="s">
        <v>23</v>
      </c>
      <c r="B9" s="26">
        <v>21.41</v>
      </c>
      <c r="C9" s="18" t="s">
        <v>120</v>
      </c>
      <c r="D9" s="18"/>
      <c r="E9" s="15" t="s">
        <v>188</v>
      </c>
      <c r="F9" s="13"/>
      <c r="G9" s="13"/>
      <c r="H9" s="6"/>
      <c r="I9" s="6"/>
    </row>
    <row r="10" spans="1:9">
      <c r="A10" s="7" t="s">
        <v>191</v>
      </c>
      <c r="B10" s="26">
        <v>64.86</v>
      </c>
      <c r="C10" s="18" t="s">
        <v>120</v>
      </c>
      <c r="D10" s="18"/>
      <c r="E10" s="15" t="s">
        <v>192</v>
      </c>
      <c r="F10" s="13"/>
      <c r="G10" s="13"/>
      <c r="H10" s="6"/>
      <c r="I10" s="6"/>
    </row>
    <row r="11" spans="1:9">
      <c r="A11" s="7" t="s">
        <v>27</v>
      </c>
      <c r="B11" s="26">
        <v>20.21</v>
      </c>
      <c r="C11" s="18" t="s">
        <v>120</v>
      </c>
      <c r="D11" s="18"/>
      <c r="E11" s="15" t="s">
        <v>193</v>
      </c>
      <c r="F11" s="13"/>
      <c r="G11" s="13"/>
      <c r="H11" s="6"/>
      <c r="I11" s="6"/>
    </row>
    <row r="12" spans="1:9">
      <c r="A12" s="7" t="s">
        <v>194</v>
      </c>
      <c r="B12" s="26">
        <v>5.69</v>
      </c>
      <c r="C12" s="18" t="s">
        <v>120</v>
      </c>
      <c r="D12" s="18"/>
      <c r="E12" s="15" t="s">
        <v>195</v>
      </c>
      <c r="F12" s="13"/>
      <c r="G12" s="13"/>
      <c r="H12" s="6"/>
      <c r="I12" s="6"/>
    </row>
    <row r="13" spans="1:9">
      <c r="A13" s="7" t="s">
        <v>196</v>
      </c>
      <c r="B13" s="26">
        <v>90.77</v>
      </c>
      <c r="C13" s="18" t="s">
        <v>120</v>
      </c>
      <c r="D13" s="18"/>
      <c r="E13" s="15" t="s">
        <v>197</v>
      </c>
      <c r="F13" s="13"/>
      <c r="G13" s="13"/>
      <c r="H13" s="6"/>
      <c r="I13" s="6"/>
    </row>
    <row r="14" spans="1:9">
      <c r="A14" s="7" t="s">
        <v>198</v>
      </c>
      <c r="B14" s="26">
        <v>63.94</v>
      </c>
      <c r="C14" s="18" t="s">
        <v>120</v>
      </c>
      <c r="D14" s="18"/>
      <c r="E14" s="15" t="s">
        <v>199</v>
      </c>
      <c r="F14" s="13"/>
      <c r="G14" s="13"/>
      <c r="H14" s="6"/>
      <c r="I14" s="6"/>
    </row>
    <row r="15" spans="1:9">
      <c r="A15" s="7" t="s">
        <v>200</v>
      </c>
      <c r="B15" s="26">
        <v>9.33</v>
      </c>
      <c r="C15" s="18" t="s">
        <v>120</v>
      </c>
      <c r="D15" s="18"/>
      <c r="E15" s="15" t="s">
        <v>193</v>
      </c>
      <c r="F15" s="13"/>
      <c r="G15" s="13"/>
      <c r="H15" s="6"/>
      <c r="I15" s="6"/>
    </row>
    <row r="16" spans="1:9">
      <c r="A16" s="7" t="s">
        <v>32</v>
      </c>
      <c r="B16" s="26">
        <v>19.46</v>
      </c>
      <c r="C16" s="18" t="s">
        <v>120</v>
      </c>
      <c r="D16" s="18"/>
      <c r="E16" s="15" t="s">
        <v>201</v>
      </c>
      <c r="F16" s="13"/>
      <c r="G16" s="13"/>
      <c r="H16" s="6"/>
      <c r="I16" s="6"/>
    </row>
    <row r="17" spans="1:9">
      <c r="A17" s="7" t="s">
        <v>35</v>
      </c>
      <c r="B17" s="26">
        <v>18.41</v>
      </c>
      <c r="C17" s="18" t="s">
        <v>120</v>
      </c>
      <c r="D17" s="18"/>
      <c r="E17" s="15" t="s">
        <v>202</v>
      </c>
      <c r="F17" s="13"/>
      <c r="G17" s="13"/>
      <c r="H17" s="6"/>
      <c r="I17" s="6"/>
    </row>
    <row r="18" spans="1:9">
      <c r="A18" s="7" t="s">
        <v>36</v>
      </c>
      <c r="B18" s="26">
        <v>26.47</v>
      </c>
      <c r="C18" s="18" t="s">
        <v>120</v>
      </c>
      <c r="D18" s="18"/>
      <c r="E18" s="15" t="s">
        <v>188</v>
      </c>
      <c r="F18" s="13"/>
      <c r="G18" s="13"/>
      <c r="H18" s="6"/>
      <c r="I18" s="6"/>
    </row>
    <row r="19" spans="1:9">
      <c r="A19" s="7" t="s">
        <v>37</v>
      </c>
      <c r="B19" s="26">
        <v>23.1</v>
      </c>
      <c r="C19" s="18" t="s">
        <v>120</v>
      </c>
      <c r="D19" s="18"/>
      <c r="E19" s="15" t="s">
        <v>188</v>
      </c>
      <c r="F19" s="13"/>
      <c r="G19" s="13"/>
      <c r="H19" s="6"/>
      <c r="I19" s="6"/>
    </row>
    <row r="20" spans="1:9">
      <c r="A20" s="7" t="s">
        <v>203</v>
      </c>
      <c r="B20" s="26">
        <v>14.61</v>
      </c>
      <c r="C20" s="18" t="s">
        <v>120</v>
      </c>
      <c r="D20" s="18"/>
      <c r="E20" s="15" t="s">
        <v>204</v>
      </c>
      <c r="F20" s="13"/>
      <c r="G20" s="13"/>
      <c r="H20" s="6"/>
      <c r="I20" s="6"/>
    </row>
    <row r="21" spans="1:9">
      <c r="A21" s="7" t="s">
        <v>205</v>
      </c>
      <c r="B21" s="26">
        <v>0.95</v>
      </c>
      <c r="C21" s="18" t="s">
        <v>120</v>
      </c>
      <c r="D21" s="18"/>
      <c r="E21" s="15" t="s">
        <v>188</v>
      </c>
      <c r="F21" s="13"/>
      <c r="G21" s="13"/>
      <c r="H21" s="6"/>
      <c r="I21" s="6"/>
    </row>
    <row r="22" spans="1:9">
      <c r="A22" s="7" t="s">
        <v>206</v>
      </c>
      <c r="B22" s="26">
        <v>2.3199999999999998</v>
      </c>
      <c r="C22" s="18" t="s">
        <v>120</v>
      </c>
      <c r="D22" s="18"/>
      <c r="E22" s="15" t="s">
        <v>188</v>
      </c>
      <c r="F22" s="13"/>
      <c r="G22" s="13"/>
      <c r="H22" s="6"/>
      <c r="I22" s="6"/>
    </row>
    <row r="23" spans="1:9">
      <c r="A23" s="7" t="s">
        <v>39</v>
      </c>
      <c r="B23" s="26">
        <v>17.010000000000002</v>
      </c>
      <c r="C23" s="18" t="s">
        <v>120</v>
      </c>
      <c r="D23" s="18"/>
      <c r="E23" s="15" t="s">
        <v>188</v>
      </c>
      <c r="F23" s="13"/>
      <c r="G23" s="13"/>
      <c r="H23" s="6"/>
      <c r="I23" s="6"/>
    </row>
    <row r="24" spans="1:9">
      <c r="A24" s="7" t="s">
        <v>207</v>
      </c>
      <c r="B24" s="30">
        <v>0.95199999999999996</v>
      </c>
      <c r="C24" s="18" t="s">
        <v>97</v>
      </c>
      <c r="D24" s="18"/>
      <c r="E24" s="15" t="s">
        <v>208</v>
      </c>
      <c r="F24" s="13"/>
      <c r="G24" s="13"/>
      <c r="H24" s="6"/>
      <c r="I24" s="6"/>
    </row>
    <row r="25" spans="1:9">
      <c r="A25" s="7" t="s">
        <v>209</v>
      </c>
      <c r="B25" s="26">
        <v>-9.16</v>
      </c>
      <c r="C25" s="18" t="s">
        <v>120</v>
      </c>
      <c r="D25" s="18"/>
      <c r="E25" s="15" t="s">
        <v>210</v>
      </c>
      <c r="F25" s="13"/>
      <c r="G25" s="13"/>
      <c r="H25" s="6"/>
      <c r="I25" s="6"/>
    </row>
    <row r="26" spans="1:9" ht="15.75" customHeight="1">
      <c r="A26" s="7"/>
      <c r="B26" s="13"/>
      <c r="C26" s="18"/>
      <c r="D26" s="18"/>
      <c r="E26" s="18"/>
      <c r="F26" s="13"/>
      <c r="G26" s="13"/>
      <c r="H26" s="6"/>
      <c r="I26" s="6"/>
    </row>
    <row r="27" spans="1:9" ht="14.25" customHeight="1">
      <c r="A27" s="50" t="s">
        <v>211</v>
      </c>
      <c r="B27" s="50"/>
      <c r="C27" s="50"/>
      <c r="D27" s="50"/>
      <c r="E27" s="50"/>
      <c r="F27" s="13"/>
      <c r="G27" s="13"/>
      <c r="H27" s="6"/>
      <c r="I27" s="6"/>
    </row>
    <row r="28" spans="1:9" ht="6" customHeight="1">
      <c r="A28" s="7"/>
      <c r="B28" s="13"/>
      <c r="C28" s="18"/>
      <c r="D28" s="18"/>
      <c r="E28" s="18"/>
      <c r="F28" s="13"/>
      <c r="G28" s="13"/>
      <c r="H28" s="6"/>
      <c r="I28" s="6"/>
    </row>
    <row r="29" spans="1:9" ht="14.25" customHeight="1">
      <c r="A29" s="50" t="s">
        <v>212</v>
      </c>
      <c r="B29" s="50"/>
      <c r="C29" s="50"/>
      <c r="D29" s="50"/>
      <c r="E29" s="50"/>
      <c r="F29" s="13"/>
      <c r="G29" s="13"/>
      <c r="H29" s="6"/>
      <c r="I29" s="6"/>
    </row>
    <row r="30" spans="1:9" ht="6" customHeight="1">
      <c r="A30" s="7"/>
      <c r="B30" s="13"/>
      <c r="C30" s="18"/>
      <c r="D30" s="18"/>
      <c r="E30" s="18"/>
      <c r="F30" s="13"/>
      <c r="G30" s="13"/>
      <c r="H30" s="6"/>
      <c r="I30" s="6"/>
    </row>
    <row r="31" spans="1:9" ht="14.25" customHeight="1">
      <c r="A31" s="50" t="s">
        <v>213</v>
      </c>
      <c r="B31" s="50"/>
      <c r="C31" s="50"/>
      <c r="D31" s="50"/>
      <c r="E31" s="50"/>
      <c r="F31" s="13"/>
      <c r="G31" s="13"/>
      <c r="H31" s="6"/>
      <c r="I31" s="6"/>
    </row>
    <row r="32" spans="1:9" ht="6" customHeight="1">
      <c r="A32" s="7"/>
      <c r="B32" s="13"/>
      <c r="C32" s="18"/>
      <c r="D32" s="18"/>
      <c r="E32" s="18"/>
      <c r="F32" s="13"/>
      <c r="G32" s="13"/>
      <c r="H32" s="6"/>
      <c r="I32" s="6"/>
    </row>
    <row r="33" spans="1:9" ht="14.25" customHeight="1">
      <c r="A33" s="50" t="s">
        <v>214</v>
      </c>
      <c r="B33" s="50"/>
      <c r="C33" s="50"/>
      <c r="D33" s="50"/>
      <c r="E33" s="50"/>
      <c r="F33" s="13"/>
      <c r="G33" s="13"/>
      <c r="H33" s="6"/>
      <c r="I33" s="6"/>
    </row>
    <row r="34" spans="1:9" ht="21" customHeight="1">
      <c r="A34" s="7"/>
      <c r="B34" s="13"/>
      <c r="C34" s="18"/>
      <c r="D34" s="18"/>
      <c r="E34" s="18"/>
      <c r="F34" s="13"/>
      <c r="G34" s="13"/>
      <c r="H34" s="6"/>
      <c r="I34" s="6"/>
    </row>
    <row r="35" spans="1:9" ht="21" customHeight="1">
      <c r="A35" s="7"/>
      <c r="B35" s="13"/>
      <c r="C35" s="18"/>
      <c r="D35" s="18"/>
      <c r="E35" s="18"/>
      <c r="F35" s="13"/>
      <c r="G35" s="13"/>
      <c r="H35" s="6"/>
      <c r="I35" s="6"/>
    </row>
    <row r="36" spans="1:9" ht="21" customHeight="1">
      <c r="A36" s="7"/>
      <c r="B36" s="13"/>
      <c r="C36" s="18"/>
      <c r="D36" s="18"/>
      <c r="E36" s="18"/>
      <c r="F36" s="13"/>
      <c r="G36" s="13"/>
      <c r="H36" s="6"/>
      <c r="I36" s="6"/>
    </row>
    <row r="37" spans="1:9" ht="21" customHeight="1">
      <c r="A37" s="7"/>
      <c r="B37" s="13"/>
      <c r="C37" s="18"/>
      <c r="D37" s="18"/>
      <c r="E37" s="18"/>
      <c r="F37" s="13"/>
      <c r="G37" s="13"/>
      <c r="H37" s="6"/>
      <c r="I37" s="6"/>
    </row>
    <row r="38" spans="1:9" ht="21" customHeight="1">
      <c r="A38" s="7"/>
      <c r="B38" s="13"/>
      <c r="C38" s="18"/>
      <c r="D38" s="18"/>
      <c r="E38" s="18"/>
      <c r="F38" s="13"/>
      <c r="G38" s="13"/>
      <c r="H38" s="6"/>
      <c r="I38" s="6"/>
    </row>
    <row r="39" spans="1:9" ht="21" customHeight="1">
      <c r="A39" s="7"/>
      <c r="B39" s="13"/>
      <c r="C39" s="18"/>
      <c r="D39" s="18"/>
      <c r="E39" s="18"/>
      <c r="F39" s="13"/>
      <c r="G39" s="13"/>
      <c r="H39" s="6"/>
      <c r="I39" s="6"/>
    </row>
    <row r="40" spans="1:9" ht="21" customHeight="1">
      <c r="A40" s="7"/>
      <c r="B40" s="13"/>
      <c r="C40" s="18"/>
      <c r="D40" s="18"/>
      <c r="E40" s="18"/>
      <c r="F40" s="13"/>
      <c r="G40" s="13"/>
      <c r="H40" s="6"/>
      <c r="I40" s="6"/>
    </row>
    <row r="41" spans="1:9" ht="21" customHeight="1">
      <c r="A41" s="7"/>
      <c r="B41" s="13"/>
      <c r="C41" s="18"/>
      <c r="D41" s="18"/>
      <c r="E41" s="18"/>
      <c r="F41" s="13"/>
      <c r="G41" s="13"/>
      <c r="H41" s="6"/>
      <c r="I41" s="6"/>
    </row>
    <row r="42" spans="1:9" ht="21" customHeight="1">
      <c r="A42" s="7"/>
      <c r="B42" s="13"/>
      <c r="C42" s="18"/>
      <c r="D42" s="18"/>
      <c r="E42" s="18"/>
      <c r="F42" s="13"/>
      <c r="G42" s="13"/>
      <c r="H42" s="6"/>
      <c r="I42" s="6"/>
    </row>
    <row r="43" spans="1:9" ht="21" customHeight="1">
      <c r="A43" s="7"/>
      <c r="B43" s="13"/>
      <c r="C43" s="18"/>
      <c r="D43" s="18"/>
      <c r="E43" s="18"/>
      <c r="F43" s="13"/>
      <c r="G43" s="13"/>
      <c r="H43" s="6"/>
      <c r="I43" s="6"/>
    </row>
    <row r="44" spans="1:9" ht="21" customHeight="1">
      <c r="A44" s="7"/>
      <c r="B44" s="13"/>
      <c r="C44" s="18"/>
      <c r="D44" s="18"/>
      <c r="E44" s="18"/>
      <c r="F44" s="13"/>
      <c r="G44" s="13"/>
      <c r="H44" s="6"/>
      <c r="I44" s="6"/>
    </row>
    <row r="45" spans="1:9" ht="21" customHeight="1">
      <c r="A45" s="7"/>
      <c r="B45" s="13"/>
      <c r="C45" s="18"/>
      <c r="D45" s="18"/>
      <c r="E45" s="18"/>
      <c r="F45" s="13"/>
      <c r="G45" s="13"/>
      <c r="H45" s="6"/>
      <c r="I45" s="6"/>
    </row>
    <row r="46" spans="1:9" ht="21" customHeight="1">
      <c r="A46" s="7"/>
      <c r="B46" s="13"/>
      <c r="C46" s="18"/>
      <c r="D46" s="18"/>
      <c r="E46" s="18"/>
      <c r="F46" s="13"/>
      <c r="G46" s="13"/>
      <c r="H46" s="6"/>
      <c r="I46" s="6"/>
    </row>
    <row r="47" spans="1:9" ht="21" customHeight="1">
      <c r="A47" s="7"/>
      <c r="B47" s="13"/>
      <c r="C47" s="18"/>
      <c r="D47" s="18"/>
      <c r="E47" s="18"/>
      <c r="F47" s="13"/>
      <c r="G47" s="13"/>
      <c r="H47" s="6"/>
      <c r="I47" s="6"/>
    </row>
    <row r="48" spans="1:9" ht="21" customHeight="1">
      <c r="A48" s="7"/>
      <c r="B48" s="13"/>
      <c r="C48" s="18"/>
      <c r="D48" s="18"/>
      <c r="E48" s="18"/>
      <c r="F48" s="13"/>
      <c r="G48" s="13"/>
      <c r="H48" s="6"/>
      <c r="I48" s="6"/>
    </row>
    <row r="49" spans="1:9" ht="21" customHeight="1">
      <c r="A49" s="7"/>
      <c r="B49" s="13"/>
      <c r="C49" s="18"/>
      <c r="D49" s="18"/>
      <c r="E49" s="18"/>
      <c r="F49" s="13"/>
      <c r="G49" s="13"/>
      <c r="H49" s="6"/>
      <c r="I49" s="6"/>
    </row>
    <row r="50" spans="1:9" ht="21" customHeight="1">
      <c r="A50" s="7"/>
      <c r="B50" s="13"/>
      <c r="C50" s="18"/>
      <c r="D50" s="18"/>
      <c r="E50" s="18"/>
      <c r="F50" s="13"/>
      <c r="G50" s="13"/>
      <c r="H50" s="6"/>
      <c r="I50" s="6"/>
    </row>
    <row r="51" spans="1:9" ht="21" customHeight="1">
      <c r="A51" s="7"/>
      <c r="B51" s="13"/>
      <c r="C51" s="18"/>
      <c r="D51" s="18"/>
      <c r="E51" s="18"/>
      <c r="F51" s="13"/>
      <c r="G51" s="13"/>
      <c r="H51" s="6"/>
      <c r="I51" s="6"/>
    </row>
    <row r="52" spans="1:9" ht="21" customHeight="1">
      <c r="A52" s="7"/>
      <c r="B52" s="13"/>
      <c r="C52" s="18"/>
      <c r="D52" s="18"/>
      <c r="E52" s="18"/>
      <c r="F52" s="13"/>
      <c r="G52" s="13"/>
      <c r="H52" s="6"/>
      <c r="I52" s="6"/>
    </row>
    <row r="53" spans="1:9" ht="21" customHeight="1">
      <c r="A53" s="7"/>
      <c r="B53" s="13"/>
      <c r="C53" s="18"/>
      <c r="D53" s="18"/>
      <c r="E53" s="18"/>
      <c r="F53" s="13"/>
      <c r="G53" s="13"/>
      <c r="H53" s="6"/>
      <c r="I53" s="6"/>
    </row>
    <row r="54" spans="1:9" ht="21" customHeight="1">
      <c r="A54" s="7"/>
      <c r="B54" s="13"/>
      <c r="C54" s="18"/>
      <c r="D54" s="18"/>
      <c r="E54" s="18"/>
      <c r="F54" s="13"/>
      <c r="G54" s="13"/>
      <c r="H54" s="6"/>
      <c r="I54" s="6"/>
    </row>
    <row r="55" spans="1:9" ht="21" customHeight="1">
      <c r="A55" s="7"/>
      <c r="B55" s="13"/>
      <c r="C55" s="18"/>
      <c r="D55" s="18"/>
      <c r="E55" s="18"/>
      <c r="F55" s="13"/>
      <c r="G55" s="13"/>
      <c r="H55" s="6"/>
      <c r="I55" s="6"/>
    </row>
    <row r="56" spans="1:9" ht="21" customHeight="1">
      <c r="A56" s="7"/>
      <c r="B56" s="13"/>
      <c r="C56" s="18"/>
      <c r="D56" s="18"/>
      <c r="E56" s="18"/>
      <c r="F56" s="13"/>
      <c r="G56" s="13"/>
      <c r="H56" s="6"/>
      <c r="I56" s="6"/>
    </row>
    <row r="57" spans="1:9" ht="21" customHeight="1">
      <c r="A57" s="7"/>
      <c r="B57" s="13"/>
      <c r="C57" s="18"/>
      <c r="D57" s="18"/>
      <c r="E57" s="18"/>
      <c r="F57" s="13"/>
      <c r="G57" s="13"/>
      <c r="H57" s="6"/>
      <c r="I57" s="6"/>
    </row>
    <row r="58" spans="1:9" ht="21" customHeight="1">
      <c r="A58" s="7"/>
      <c r="B58" s="13"/>
      <c r="C58" s="18"/>
      <c r="D58" s="18"/>
      <c r="E58" s="18"/>
      <c r="F58" s="13"/>
      <c r="G58" s="13"/>
      <c r="H58" s="6"/>
      <c r="I58" s="6"/>
    </row>
    <row r="59" spans="1:9" ht="21" customHeight="1">
      <c r="A59" s="7"/>
      <c r="B59" s="13"/>
      <c r="C59" s="18"/>
      <c r="D59" s="18"/>
      <c r="E59" s="18"/>
      <c r="F59" s="13"/>
      <c r="G59" s="13"/>
      <c r="H59" s="6"/>
      <c r="I59" s="6"/>
    </row>
    <row r="60" spans="1:9" ht="21" customHeight="1">
      <c r="A60" s="7"/>
      <c r="B60" s="13"/>
      <c r="C60" s="18"/>
      <c r="D60" s="18"/>
      <c r="E60" s="18"/>
      <c r="F60" s="13"/>
      <c r="G60" s="13"/>
      <c r="H60" s="6"/>
      <c r="I60" s="6"/>
    </row>
    <row r="61" spans="1:9" ht="21" customHeight="1">
      <c r="A61" s="7"/>
      <c r="B61" s="13"/>
      <c r="C61" s="18"/>
      <c r="D61" s="18"/>
      <c r="E61" s="18"/>
      <c r="F61" s="13"/>
      <c r="G61" s="13"/>
      <c r="H61" s="6"/>
      <c r="I61" s="6"/>
    </row>
    <row r="62" spans="1:9" ht="21" customHeight="1">
      <c r="A62" s="7"/>
      <c r="B62" s="13"/>
      <c r="C62" s="18"/>
      <c r="D62" s="18"/>
      <c r="E62" s="18"/>
      <c r="F62" s="13"/>
      <c r="G62" s="13"/>
      <c r="H62" s="6"/>
      <c r="I62" s="6"/>
    </row>
    <row r="63" spans="1:9" ht="21" customHeight="1">
      <c r="A63" s="7"/>
      <c r="B63" s="13"/>
      <c r="C63" s="18"/>
      <c r="D63" s="18"/>
      <c r="E63" s="18"/>
      <c r="F63" s="13"/>
      <c r="G63" s="13"/>
      <c r="H63" s="6"/>
      <c r="I63" s="6"/>
    </row>
    <row r="64" spans="1:9" ht="21" customHeight="1">
      <c r="A64" s="7"/>
      <c r="B64" s="13"/>
      <c r="C64" s="18"/>
      <c r="D64" s="18"/>
      <c r="E64" s="18"/>
      <c r="F64" s="13"/>
      <c r="G64" s="13"/>
      <c r="H64" s="6"/>
      <c r="I64" s="6"/>
    </row>
    <row r="65" spans="1:9" ht="21" customHeight="1">
      <c r="A65" s="7"/>
      <c r="B65" s="13"/>
      <c r="C65" s="18"/>
      <c r="D65" s="18"/>
      <c r="E65" s="18"/>
      <c r="F65" s="13"/>
      <c r="G65" s="13"/>
      <c r="H65" s="6"/>
      <c r="I65" s="6"/>
    </row>
    <row r="66" spans="1:9" ht="21" customHeight="1">
      <c r="A66" s="7"/>
      <c r="B66" s="13"/>
      <c r="C66" s="18"/>
      <c r="D66" s="18"/>
      <c r="E66" s="18"/>
      <c r="F66" s="13"/>
      <c r="G66" s="13"/>
      <c r="H66" s="6"/>
      <c r="I66" s="6"/>
    </row>
    <row r="67" spans="1:9" ht="21" customHeight="1">
      <c r="A67" s="7"/>
      <c r="B67" s="13"/>
      <c r="C67" s="18"/>
      <c r="D67" s="18"/>
      <c r="E67" s="18"/>
      <c r="F67" s="13"/>
      <c r="G67" s="13"/>
      <c r="H67" s="6"/>
      <c r="I67" s="6"/>
    </row>
    <row r="68" spans="1:9" ht="21" customHeight="1">
      <c r="A68" s="7"/>
      <c r="B68" s="13"/>
      <c r="C68" s="18"/>
      <c r="D68" s="18"/>
      <c r="E68" s="18"/>
      <c r="F68" s="13"/>
      <c r="G68" s="13"/>
      <c r="H68" s="6"/>
      <c r="I68" s="6"/>
    </row>
    <row r="69" spans="1:9" ht="21" customHeight="1">
      <c r="A69" s="7"/>
      <c r="B69" s="13"/>
      <c r="C69" s="18"/>
      <c r="D69" s="18"/>
      <c r="E69" s="18"/>
      <c r="F69" s="13"/>
      <c r="G69" s="13"/>
      <c r="H69" s="6"/>
      <c r="I69" s="6"/>
    </row>
    <row r="70" spans="1:9" ht="21" customHeight="1">
      <c r="A70" s="7"/>
      <c r="B70" s="13"/>
      <c r="C70" s="18"/>
      <c r="D70" s="18"/>
      <c r="E70" s="18"/>
      <c r="F70" s="13"/>
      <c r="G70" s="13"/>
      <c r="H70" s="6"/>
      <c r="I70" s="6"/>
    </row>
    <row r="71" spans="1:9" ht="21" customHeight="1">
      <c r="A71" s="7"/>
      <c r="B71" s="13"/>
      <c r="C71" s="18"/>
      <c r="D71" s="18"/>
      <c r="E71" s="18"/>
      <c r="F71" s="13"/>
      <c r="G71" s="13"/>
      <c r="H71" s="6"/>
      <c r="I71" s="6"/>
    </row>
    <row r="72" spans="1:9" ht="21" customHeight="1">
      <c r="A72" s="7"/>
      <c r="B72" s="13"/>
      <c r="C72" s="18"/>
      <c r="D72" s="18"/>
      <c r="E72" s="18"/>
      <c r="F72" s="13"/>
      <c r="G72" s="13"/>
      <c r="H72" s="6"/>
      <c r="I72" s="6"/>
    </row>
    <row r="73" spans="1:9" ht="21" customHeight="1">
      <c r="A73" s="7"/>
      <c r="B73" s="13"/>
      <c r="C73" s="18"/>
      <c r="D73" s="18"/>
      <c r="E73" s="18"/>
      <c r="F73" s="13"/>
      <c r="G73" s="13"/>
      <c r="H73" s="6"/>
      <c r="I73" s="6"/>
    </row>
    <row r="74" spans="1:9" ht="21" customHeight="1">
      <c r="A74" s="7"/>
      <c r="B74" s="13"/>
      <c r="C74" s="18"/>
      <c r="D74" s="18"/>
      <c r="E74" s="18"/>
      <c r="F74" s="13"/>
      <c r="G74" s="13"/>
      <c r="H74" s="6"/>
      <c r="I74" s="6"/>
    </row>
    <row r="75" spans="1:9" ht="21" customHeight="1">
      <c r="A75" s="7"/>
      <c r="B75" s="13"/>
      <c r="C75" s="18"/>
      <c r="D75" s="18"/>
      <c r="E75" s="18"/>
      <c r="F75" s="13"/>
      <c r="G75" s="13"/>
      <c r="H75" s="6"/>
      <c r="I75" s="6"/>
    </row>
    <row r="76" spans="1:9" ht="21" customHeight="1">
      <c r="A76" s="7"/>
      <c r="B76" s="13"/>
      <c r="C76" s="18"/>
      <c r="D76" s="18"/>
      <c r="E76" s="18"/>
      <c r="F76" s="13"/>
      <c r="G76" s="13"/>
      <c r="H76" s="6"/>
      <c r="I76" s="6"/>
    </row>
    <row r="77" spans="1:9" ht="21" customHeight="1">
      <c r="A77" s="7"/>
      <c r="B77" s="13"/>
      <c r="C77" s="18"/>
      <c r="D77" s="18"/>
      <c r="E77" s="18"/>
      <c r="F77" s="13"/>
      <c r="G77" s="13"/>
      <c r="H77" s="6"/>
      <c r="I77" s="6"/>
    </row>
    <row r="78" spans="1:9" ht="21" customHeight="1">
      <c r="A78" s="7"/>
      <c r="B78" s="13"/>
      <c r="C78" s="18"/>
      <c r="D78" s="18"/>
      <c r="E78" s="18"/>
      <c r="F78" s="13"/>
      <c r="G78" s="13"/>
      <c r="H78" s="6"/>
      <c r="I78" s="6"/>
    </row>
    <row r="79" spans="1:9" ht="21" customHeight="1">
      <c r="A79" s="7"/>
      <c r="B79" s="13"/>
      <c r="C79" s="18"/>
      <c r="D79" s="18"/>
      <c r="E79" s="18"/>
      <c r="F79" s="13"/>
      <c r="G79" s="13"/>
      <c r="H79" s="6"/>
      <c r="I79" s="6"/>
    </row>
    <row r="80" spans="1:9" ht="21" customHeight="1">
      <c r="A80" s="7"/>
      <c r="B80" s="13"/>
      <c r="C80" s="18"/>
      <c r="D80" s="18"/>
      <c r="E80" s="18"/>
      <c r="F80" s="13"/>
      <c r="G80" s="13"/>
      <c r="H80" s="6"/>
      <c r="I80" s="6"/>
    </row>
    <row r="81" spans="1:9" ht="21" customHeight="1">
      <c r="A81" s="7"/>
      <c r="B81" s="13"/>
      <c r="C81" s="18"/>
      <c r="D81" s="18"/>
      <c r="E81" s="18"/>
      <c r="F81" s="13"/>
      <c r="G81" s="13"/>
      <c r="H81" s="6"/>
      <c r="I81" s="6"/>
    </row>
    <row r="82" spans="1:9" ht="21" customHeight="1">
      <c r="A82" s="7"/>
      <c r="B82" s="13"/>
      <c r="C82" s="18"/>
      <c r="D82" s="18"/>
      <c r="E82" s="18"/>
      <c r="F82" s="13"/>
      <c r="G82" s="13"/>
      <c r="H82" s="6"/>
      <c r="I82" s="6"/>
    </row>
    <row r="83" spans="1:9" ht="21" customHeight="1">
      <c r="A83" s="7"/>
      <c r="B83" s="13"/>
      <c r="C83" s="18"/>
      <c r="D83" s="18"/>
      <c r="E83" s="18"/>
      <c r="F83" s="13"/>
      <c r="G83" s="13"/>
      <c r="H83" s="6"/>
      <c r="I83" s="6"/>
    </row>
    <row r="84" spans="1:9" ht="21" customHeight="1">
      <c r="A84" s="7"/>
      <c r="B84" s="13"/>
      <c r="C84" s="18"/>
      <c r="D84" s="18"/>
      <c r="E84" s="18"/>
      <c r="F84" s="13"/>
      <c r="G84" s="13"/>
      <c r="H84" s="6"/>
      <c r="I84" s="6"/>
    </row>
    <row r="85" spans="1:9" ht="21" customHeight="1">
      <c r="A85" s="7"/>
      <c r="B85" s="13"/>
      <c r="C85" s="18"/>
      <c r="D85" s="18"/>
      <c r="E85" s="18"/>
      <c r="F85" s="13"/>
      <c r="G85" s="13"/>
      <c r="H85" s="6"/>
      <c r="I85" s="6"/>
    </row>
    <row r="86" spans="1:9" ht="21" customHeight="1">
      <c r="A86" s="7"/>
      <c r="B86" s="13"/>
      <c r="C86" s="18"/>
      <c r="D86" s="18"/>
      <c r="E86" s="18"/>
      <c r="F86" s="13"/>
      <c r="G86" s="13"/>
      <c r="H86" s="6"/>
      <c r="I86" s="6"/>
    </row>
    <row r="87" spans="1:9" ht="21" customHeight="1">
      <c r="A87" s="7"/>
      <c r="B87" s="13"/>
      <c r="C87" s="18"/>
      <c r="D87" s="18"/>
      <c r="E87" s="18"/>
      <c r="F87" s="13"/>
      <c r="G87" s="13"/>
      <c r="H87" s="6"/>
      <c r="I87" s="6"/>
    </row>
    <row r="88" spans="1:9" ht="21" customHeight="1">
      <c r="A88" s="7"/>
      <c r="B88" s="13"/>
      <c r="C88" s="18"/>
      <c r="D88" s="18"/>
      <c r="E88" s="18"/>
      <c r="F88" s="13"/>
      <c r="G88" s="13"/>
      <c r="H88" s="6"/>
      <c r="I88" s="6"/>
    </row>
    <row r="89" spans="1:9" ht="21" customHeight="1">
      <c r="A89" s="7"/>
      <c r="B89" s="13"/>
      <c r="C89" s="18"/>
      <c r="D89" s="18"/>
      <c r="E89" s="18"/>
      <c r="F89" s="13"/>
      <c r="G89" s="13"/>
      <c r="H89" s="6"/>
      <c r="I89" s="6"/>
    </row>
    <row r="90" spans="1:9" ht="21" customHeight="1">
      <c r="A90" s="7"/>
      <c r="B90" s="13"/>
      <c r="C90" s="18"/>
      <c r="D90" s="18"/>
      <c r="E90" s="18"/>
      <c r="F90" s="13"/>
      <c r="G90" s="13"/>
      <c r="H90" s="6"/>
      <c r="I90" s="6"/>
    </row>
    <row r="91" spans="1:9" ht="21" customHeight="1">
      <c r="A91" s="7"/>
      <c r="B91" s="13"/>
      <c r="C91" s="18"/>
      <c r="D91" s="18"/>
      <c r="E91" s="18"/>
      <c r="F91" s="13"/>
      <c r="G91" s="13"/>
      <c r="H91" s="6"/>
      <c r="I91" s="6"/>
    </row>
    <row r="92" spans="1:9" ht="21" customHeight="1">
      <c r="A92" s="7"/>
      <c r="B92" s="13"/>
      <c r="C92" s="18"/>
      <c r="D92" s="18"/>
      <c r="E92" s="18"/>
      <c r="F92" s="13"/>
      <c r="G92" s="13"/>
      <c r="H92" s="6"/>
      <c r="I92" s="6"/>
    </row>
    <row r="93" spans="1:9" ht="21" customHeight="1">
      <c r="A93" s="7"/>
      <c r="B93" s="13"/>
      <c r="C93" s="18"/>
      <c r="D93" s="18"/>
      <c r="E93" s="18"/>
      <c r="F93" s="13"/>
      <c r="G93" s="13"/>
      <c r="H93" s="6"/>
      <c r="I93" s="6"/>
    </row>
    <row r="94" spans="1:9" ht="21" customHeight="1">
      <c r="A94" s="7"/>
      <c r="B94" s="13"/>
      <c r="C94" s="18"/>
      <c r="D94" s="18"/>
      <c r="E94" s="18"/>
      <c r="F94" s="13"/>
      <c r="G94" s="13"/>
      <c r="H94" s="6"/>
      <c r="I94" s="6"/>
    </row>
    <row r="95" spans="1:9" ht="21" customHeight="1">
      <c r="A95" s="7"/>
      <c r="B95" s="13"/>
      <c r="C95" s="18"/>
      <c r="D95" s="18"/>
      <c r="E95" s="18"/>
      <c r="F95" s="13"/>
      <c r="G95" s="13"/>
      <c r="H95" s="6"/>
      <c r="I95" s="6"/>
    </row>
    <row r="96" spans="1:9" ht="21" customHeight="1">
      <c r="A96" s="7"/>
      <c r="B96" s="13"/>
      <c r="C96" s="18"/>
      <c r="D96" s="18"/>
      <c r="E96" s="18"/>
      <c r="F96" s="13"/>
      <c r="G96" s="13"/>
      <c r="H96" s="6"/>
      <c r="I96" s="6"/>
    </row>
    <row r="97" spans="1:9" ht="21" customHeight="1">
      <c r="A97" s="7"/>
      <c r="B97" s="13"/>
      <c r="C97" s="18"/>
      <c r="D97" s="18"/>
      <c r="E97" s="18"/>
      <c r="F97" s="13"/>
      <c r="G97" s="13"/>
      <c r="H97" s="6"/>
      <c r="I97" s="6"/>
    </row>
    <row r="98" spans="1:9" ht="21" customHeight="1">
      <c r="A98" s="7"/>
      <c r="B98" s="13"/>
      <c r="C98" s="18"/>
      <c r="D98" s="18"/>
      <c r="E98" s="18"/>
      <c r="F98" s="13"/>
      <c r="G98" s="13"/>
      <c r="H98" s="6"/>
      <c r="I98" s="6"/>
    </row>
  </sheetData>
  <sheetProtection algorithmName="SHA-512" hashValue="q8uAGhrvku/LpqMdIYFEXsfsX5dLLlxgnCzYM0/9HTWaDk09g2XqdfPQ2Tz4gEAQDDjZY/79vcPfYIn482KpPA==" saltValue="+1g7FA3CRcPkeFVt3NIgBA==" spinCount="100000" sheet="1" objects="1" scenarios="1"/>
  <mergeCells count="5">
    <mergeCell ref="A2:E2"/>
    <mergeCell ref="A27:E27"/>
    <mergeCell ref="A29:E29"/>
    <mergeCell ref="A31:E31"/>
    <mergeCell ref="A33:E33"/>
  </mergeCells>
  <pageMargins left="0.74803149606299213" right="0.74803149606299213" top="0.98425196850393704" bottom="0.98425196850393704" header="0.51181102362204722" footer="0.51181102362204722"/>
  <pageSetup paperSize="9" scale="67" orientation="landscape" r:id="rId1"/>
  <headerFooter>
    <oddFooter>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74169DF7DAB54D8D137808140853A5" ma:contentTypeVersion="15" ma:contentTypeDescription="Create a new document." ma:contentTypeScope="" ma:versionID="d919cbaafc1e94057e02c7c81316fab5">
  <xsd:schema xmlns:xsd="http://www.w3.org/2001/XMLSchema" xmlns:xs="http://www.w3.org/2001/XMLSchema" xmlns:p="http://schemas.microsoft.com/office/2006/metadata/properties" xmlns:ns2="c475b565-70a7-4e9d-bd14-4392229c3b0f" xmlns:ns3="ca03d91f-ceed-4bea-96b8-b42f9217de98" targetNamespace="http://schemas.microsoft.com/office/2006/metadata/properties" ma:root="true" ma:fieldsID="719efd0f3c3c63f4af02910247475b63" ns2:_="" ns3:_="">
    <xsd:import namespace="c475b565-70a7-4e9d-bd14-4392229c3b0f"/>
    <xsd:import namespace="ca03d91f-ceed-4bea-96b8-b42f9217de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5b565-70a7-4e9d-bd14-4392229c3b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4fe3fa-2dc9-40b2-9b8e-9809228754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3d91f-ceed-4bea-96b8-b42f9217de9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700c199-71c9-49a6-8301-11389fc1859f}" ma:internalName="TaxCatchAll" ma:showField="CatchAllData" ma:web="ca03d91f-ceed-4bea-96b8-b42f9217de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75b565-70a7-4e9d-bd14-4392229c3b0f">
      <Terms xmlns="http://schemas.microsoft.com/office/infopath/2007/PartnerControls"/>
    </lcf76f155ced4ddcb4097134ff3c332f>
    <TaxCatchAll xmlns="ca03d91f-ceed-4bea-96b8-b42f9217de98" xsi:nil="true"/>
  </documentManagement>
</p:properties>
</file>

<file path=customXml/itemProps1.xml><?xml version="1.0" encoding="utf-8"?>
<ds:datastoreItem xmlns:ds="http://schemas.openxmlformats.org/officeDocument/2006/customXml" ds:itemID="{019CA77F-2212-44D8-A224-A957E6B75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75b565-70a7-4e9d-bd14-4392229c3b0f"/>
    <ds:schemaRef ds:uri="ca03d91f-ceed-4bea-96b8-b42f9217de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8F13D3-1695-44D8-AA40-6532C04DB5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2EBAAA-3D09-4EDE-B021-02D02ABE1E74}">
  <ds:schemaRefs>
    <ds:schemaRef ds:uri="http://schemas.microsoft.com/office/2006/metadata/properties"/>
    <ds:schemaRef ds:uri="http://schemas.microsoft.com/office/infopath/2007/PartnerControls"/>
    <ds:schemaRef ds:uri="c475b565-70a7-4e9d-bd14-4392229c3b0f"/>
    <ds:schemaRef ds:uri="ca03d91f-ceed-4bea-96b8-b42f9217de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About This Model</vt:lpstr>
      <vt:lpstr>Three-margin P&amp;L</vt:lpstr>
      <vt:lpstr>Assumptions</vt:lpstr>
      <vt:lpstr>Benchmark</vt:lpstr>
      <vt:lpstr>'About This Model'!Print_Area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Oe</dc:creator>
  <cp:lastModifiedBy>Angie Oe</cp:lastModifiedBy>
  <cp:lastPrinted>2026-09-11T04:22:04Z</cp:lastPrinted>
  <dcterms:created xsi:type="dcterms:W3CDTF">2026-09-11T04:13:49Z</dcterms:created>
  <dcterms:modified xsi:type="dcterms:W3CDTF">2026-09-11T05:58:29Z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0x0101000A74169DF7DAB54D8D137808140853A5</vt:lpwstr>
  </property>
</Properties>
</file>